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codeName="ThisWorkbook" autoCompressPictures="0"/>
  <bookViews>
    <workbookView xWindow="1540" yWindow="340" windowWidth="21840" windowHeight="13740" tabRatio="960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AL8" i="37"/>
  <c r="I9" i="37"/>
  <c r="O9" i="37"/>
  <c r="U9" i="37"/>
  <c r="AA9" i="37"/>
  <c r="AG9" i="37"/>
  <c r="AL9" i="37"/>
  <c r="I10" i="37"/>
  <c r="O10" i="37"/>
  <c r="U10" i="37"/>
  <c r="AA10" i="37"/>
  <c r="AG10" i="37"/>
  <c r="AL10" i="37"/>
  <c r="I11" i="37"/>
  <c r="O11" i="37"/>
  <c r="U11" i="37"/>
  <c r="AA11" i="37"/>
  <c r="AG11" i="37"/>
  <c r="AL11" i="37"/>
  <c r="I12" i="37"/>
  <c r="O12" i="37"/>
  <c r="U12" i="37"/>
  <c r="AA12" i="37"/>
  <c r="AG12" i="37"/>
  <c r="AL12" i="37"/>
  <c r="I13" i="37"/>
  <c r="O13" i="37"/>
  <c r="U13" i="37"/>
  <c r="AA13" i="37"/>
  <c r="AG13" i="37"/>
  <c r="AL13" i="37"/>
  <c r="I14" i="37"/>
  <c r="O14" i="37"/>
  <c r="U14" i="37"/>
  <c r="AA14" i="37"/>
  <c r="AG14" i="37"/>
  <c r="AL14" i="37"/>
  <c r="I15" i="37"/>
  <c r="O15" i="37"/>
  <c r="U15" i="37"/>
  <c r="AA15" i="37"/>
  <c r="AG15" i="37"/>
  <c r="AL15" i="37"/>
  <c r="I16" i="37"/>
  <c r="O16" i="37"/>
  <c r="U16" i="37"/>
  <c r="AA16" i="37"/>
  <c r="AG16" i="37"/>
  <c r="AL16" i="37"/>
  <c r="I17" i="37"/>
  <c r="O17" i="37"/>
  <c r="U17" i="37"/>
  <c r="AA17" i="37"/>
  <c r="AG17" i="37"/>
  <c r="AL17" i="37"/>
  <c r="U18" i="37"/>
  <c r="I18" i="37"/>
  <c r="O18" i="37"/>
  <c r="AA18" i="37"/>
  <c r="AG18" i="37"/>
  <c r="AL18" i="37"/>
  <c r="I19" i="37"/>
  <c r="O19" i="37"/>
  <c r="U19" i="37"/>
  <c r="AA19" i="37"/>
  <c r="AG19" i="37"/>
  <c r="AL19" i="37"/>
  <c r="I20" i="37"/>
  <c r="O20" i="37"/>
  <c r="U20" i="37"/>
  <c r="AA20" i="37"/>
  <c r="AG20" i="37"/>
  <c r="AL20" i="37"/>
  <c r="O21" i="37"/>
  <c r="I21" i="37"/>
  <c r="U21" i="37"/>
  <c r="AA21" i="37"/>
  <c r="AG21" i="37"/>
  <c r="AL21" i="37"/>
  <c r="I22" i="37"/>
  <c r="O22" i="37"/>
  <c r="U22" i="37"/>
  <c r="AA22" i="37"/>
  <c r="AG22" i="37"/>
  <c r="AL22" i="37"/>
  <c r="I23" i="37"/>
  <c r="O23" i="37"/>
  <c r="U23" i="37"/>
  <c r="AA23" i="37"/>
  <c r="AG23" i="37"/>
  <c r="AL23" i="37"/>
  <c r="I24" i="37"/>
  <c r="O24" i="37"/>
  <c r="U24" i="37"/>
  <c r="AA24" i="37"/>
  <c r="AG24" i="37"/>
  <c r="AL24" i="37"/>
  <c r="I25" i="37"/>
  <c r="O25" i="37"/>
  <c r="U25" i="37"/>
  <c r="AA25" i="37"/>
  <c r="AG25" i="37"/>
  <c r="AL25" i="37"/>
  <c r="I26" i="37"/>
  <c r="O26" i="37"/>
  <c r="U26" i="37"/>
  <c r="AA26" i="37"/>
  <c r="AG26" i="37"/>
  <c r="AL26" i="37"/>
  <c r="I7" i="37"/>
  <c r="O7" i="37"/>
  <c r="U7" i="37"/>
  <c r="AA7" i="37"/>
  <c r="AG7" i="37"/>
  <c r="AL7" i="37"/>
  <c r="B2" i="36"/>
  <c r="A3" i="37"/>
  <c r="A3" i="21"/>
  <c r="B7" i="37"/>
  <c r="B8" i="37"/>
  <c r="B9" i="37"/>
  <c r="B10" i="37"/>
  <c r="AI7" i="37"/>
  <c r="AJ7" i="37"/>
  <c r="AI8" i="37"/>
  <c r="AJ8" i="37"/>
  <c r="AI9" i="37"/>
  <c r="AJ9" i="37"/>
  <c r="AI10" i="37"/>
  <c r="AJ10" i="37"/>
  <c r="B11" i="37"/>
  <c r="AI11" i="37"/>
  <c r="AJ11" i="37"/>
  <c r="B12" i="37"/>
  <c r="AI12" i="37"/>
  <c r="AJ12" i="37"/>
  <c r="B13" i="37"/>
  <c r="AI13" i="37"/>
  <c r="AJ13" i="37"/>
  <c r="B14" i="37"/>
  <c r="AI14" i="37"/>
  <c r="AJ14" i="37"/>
  <c r="B15" i="37"/>
  <c r="AI15" i="37"/>
  <c r="AJ15" i="37"/>
  <c r="B16" i="37"/>
  <c r="AI16" i="37"/>
  <c r="AJ16" i="37"/>
  <c r="B17" i="37"/>
  <c r="AI17" i="37"/>
  <c r="AJ17" i="37"/>
  <c r="B18" i="37"/>
  <c r="AI18" i="37"/>
  <c r="AJ18" i="37"/>
  <c r="B19" i="37"/>
  <c r="AI19" i="37"/>
  <c r="AJ19" i="37"/>
  <c r="B20" i="37"/>
  <c r="AI20" i="37"/>
  <c r="AJ20" i="37"/>
  <c r="B21" i="37"/>
  <c r="AI21" i="37"/>
  <c r="AJ21" i="37"/>
  <c r="B22" i="37"/>
  <c r="AI22" i="37"/>
  <c r="AJ22" i="37"/>
  <c r="B23" i="37"/>
  <c r="AI23" i="37"/>
  <c r="AJ23" i="37"/>
  <c r="B24" i="37"/>
  <c r="AI24" i="37"/>
  <c r="AJ24" i="37"/>
  <c r="B25" i="37"/>
  <c r="AI25" i="37"/>
  <c r="AJ25" i="37"/>
  <c r="B26" i="37"/>
  <c r="AI26" i="37"/>
  <c r="AJ26" i="37"/>
  <c r="A11" i="21"/>
  <c r="B11" i="21"/>
  <c r="K25" i="38"/>
  <c r="I26" i="22"/>
  <c r="C19" i="36"/>
  <c r="B25" i="36"/>
  <c r="B26" i="36"/>
  <c r="B27" i="36"/>
  <c r="B28" i="36"/>
  <c r="B29" i="36"/>
  <c r="B30" i="36"/>
  <c r="B31" i="36"/>
  <c r="C25" i="36"/>
  <c r="K25" i="36"/>
  <c r="K26" i="36"/>
  <c r="K27" i="36"/>
  <c r="K28" i="36"/>
  <c r="K29" i="36"/>
  <c r="K30" i="36"/>
  <c r="K31" i="36"/>
  <c r="I25" i="36"/>
  <c r="A10" i="21"/>
  <c r="B10" i="21"/>
  <c r="C25" i="38"/>
  <c r="C26" i="22"/>
  <c r="H19" i="36"/>
  <c r="H35" i="36"/>
  <c r="L41" i="36"/>
  <c r="L42" i="36"/>
  <c r="L43" i="36"/>
  <c r="L44" i="36"/>
  <c r="L45" i="36"/>
  <c r="L46" i="36"/>
  <c r="L47" i="36"/>
  <c r="M41" i="36"/>
  <c r="U41" i="36"/>
  <c r="U42" i="36"/>
  <c r="U43" i="36"/>
  <c r="U44" i="36"/>
  <c r="U45" i="36"/>
  <c r="U46" i="36"/>
  <c r="U47" i="36"/>
  <c r="S41" i="36"/>
  <c r="A13" i="21"/>
  <c r="B13" i="21"/>
  <c r="K9" i="38"/>
  <c r="I10" i="22"/>
  <c r="M19" i="36"/>
  <c r="L25" i="36"/>
  <c r="L26" i="36"/>
  <c r="L27" i="36"/>
  <c r="L28" i="36"/>
  <c r="L29" i="36"/>
  <c r="L30" i="36"/>
  <c r="L31" i="36"/>
  <c r="M25" i="36"/>
  <c r="U25" i="36"/>
  <c r="U26" i="36"/>
  <c r="U27" i="36"/>
  <c r="U28" i="36"/>
  <c r="U29" i="36"/>
  <c r="U30" i="36"/>
  <c r="U31" i="36"/>
  <c r="S25" i="36"/>
  <c r="A8" i="21"/>
  <c r="B8" i="21"/>
  <c r="C9" i="38"/>
  <c r="C10" i="22"/>
  <c r="R19" i="36"/>
  <c r="R35" i="36"/>
  <c r="M51" i="36"/>
  <c r="P57" i="36"/>
  <c r="P58" i="36"/>
  <c r="P59" i="36"/>
  <c r="P60" i="36"/>
  <c r="P61" i="36"/>
  <c r="P62" i="36"/>
  <c r="P63" i="36"/>
  <c r="N57" i="36"/>
  <c r="A12" i="21"/>
  <c r="B12" i="21"/>
  <c r="K17" i="38"/>
  <c r="I18" i="22"/>
  <c r="R5" i="36"/>
  <c r="L11" i="36"/>
  <c r="L12" i="36"/>
  <c r="L13" i="36"/>
  <c r="L14" i="36"/>
  <c r="L15" i="36"/>
  <c r="L16" i="36"/>
  <c r="L17" i="36"/>
  <c r="M11" i="36"/>
  <c r="L13" i="32"/>
  <c r="J13" i="32"/>
  <c r="L14" i="32"/>
  <c r="J14" i="32"/>
  <c r="L15" i="32"/>
  <c r="J15" i="32"/>
  <c r="B11" i="36"/>
  <c r="B12" i="36"/>
  <c r="B13" i="36"/>
  <c r="B14" i="36"/>
  <c r="B15" i="36"/>
  <c r="B16" i="36"/>
  <c r="B17" i="36"/>
  <c r="C11" i="36"/>
  <c r="K11" i="36"/>
  <c r="K13" i="36"/>
  <c r="K12" i="36"/>
  <c r="K14" i="36"/>
  <c r="K15" i="36"/>
  <c r="K16" i="36"/>
  <c r="K17" i="36"/>
  <c r="I11" i="36"/>
  <c r="A14" i="21"/>
  <c r="B14" i="21"/>
  <c r="K1" i="38"/>
  <c r="I2" i="22"/>
  <c r="H5" i="36"/>
  <c r="L12" i="32"/>
  <c r="J12" i="32"/>
  <c r="U11" i="36"/>
  <c r="U12" i="36"/>
  <c r="U13" i="36"/>
  <c r="U14" i="36"/>
  <c r="U15" i="36"/>
  <c r="U16" i="36"/>
  <c r="U17" i="36"/>
  <c r="S11" i="36"/>
  <c r="M13" i="32"/>
  <c r="M14" i="32"/>
  <c r="M15" i="32"/>
  <c r="K13" i="32"/>
  <c r="K14" i="32"/>
  <c r="K15" i="32"/>
  <c r="M12" i="32"/>
  <c r="K12" i="32"/>
  <c r="B41" i="36"/>
  <c r="B42" i="36"/>
  <c r="B43" i="36"/>
  <c r="B44" i="36"/>
  <c r="B45" i="36"/>
  <c r="B46" i="36"/>
  <c r="B47" i="36"/>
  <c r="C41" i="36"/>
  <c r="K41" i="36"/>
  <c r="K42" i="36"/>
  <c r="K43" i="36"/>
  <c r="K44" i="36"/>
  <c r="K45" i="36"/>
  <c r="K46" i="36"/>
  <c r="K47" i="36"/>
  <c r="I41" i="36"/>
  <c r="B7" i="21"/>
  <c r="C1" i="38"/>
  <c r="C2" i="22"/>
  <c r="C5" i="36"/>
  <c r="C35" i="36"/>
  <c r="H65" i="36"/>
  <c r="A15" i="21"/>
  <c r="AE15" i="21"/>
  <c r="A17" i="32"/>
  <c r="A16" i="21"/>
  <c r="AE16" i="21"/>
  <c r="AI16" i="21"/>
  <c r="F17" i="32"/>
  <c r="A18" i="32"/>
  <c r="A17" i="21"/>
  <c r="AE17" i="21"/>
  <c r="AI17" i="21"/>
  <c r="F18" i="32"/>
  <c r="A19" i="32"/>
  <c r="A18" i="21"/>
  <c r="AE18" i="21"/>
  <c r="AI18" i="21"/>
  <c r="F19" i="32"/>
  <c r="A20" i="32"/>
  <c r="A19" i="21"/>
  <c r="AE19" i="21"/>
  <c r="AI19" i="21"/>
  <c r="F20" i="32"/>
  <c r="A21" i="32"/>
  <c r="A20" i="21"/>
  <c r="AE20" i="21"/>
  <c r="AI20" i="21"/>
  <c r="F21" i="32"/>
  <c r="A22" i="32"/>
  <c r="A21" i="21"/>
  <c r="AE21" i="21"/>
  <c r="AI21" i="21"/>
  <c r="F22" i="32"/>
  <c r="A23" i="32"/>
  <c r="A22" i="21"/>
  <c r="AE22" i="21"/>
  <c r="AI22" i="21"/>
  <c r="F23" i="32"/>
  <c r="A24" i="32"/>
  <c r="A23" i="21"/>
  <c r="AE23" i="21"/>
  <c r="AI23" i="21"/>
  <c r="F24" i="32"/>
  <c r="A25" i="32"/>
  <c r="A24" i="21"/>
  <c r="AE24" i="21"/>
  <c r="AI24" i="21"/>
  <c r="F25" i="32"/>
  <c r="A26" i="32"/>
  <c r="A25" i="21"/>
  <c r="AE25" i="21"/>
  <c r="AI25" i="21"/>
  <c r="F26" i="32"/>
  <c r="A27" i="32"/>
  <c r="A26" i="21"/>
  <c r="AE26" i="21"/>
  <c r="AI26" i="21"/>
  <c r="F27" i="32"/>
  <c r="A27" i="21"/>
  <c r="AE27" i="21"/>
  <c r="AI27" i="21"/>
  <c r="A28" i="21"/>
  <c r="AE28" i="21"/>
  <c r="A29" i="21"/>
  <c r="AE29" i="21"/>
  <c r="A30" i="21"/>
  <c r="AE30" i="21"/>
  <c r="A31" i="21"/>
  <c r="AE31" i="21"/>
  <c r="A32" i="21"/>
  <c r="AE32" i="21"/>
  <c r="A33" i="21"/>
  <c r="AE33" i="21"/>
  <c r="A34" i="21"/>
  <c r="AE34" i="21"/>
  <c r="A35" i="21"/>
  <c r="AE35" i="21"/>
  <c r="A36" i="21"/>
  <c r="AE36" i="21"/>
  <c r="A37" i="21"/>
  <c r="AE37" i="21"/>
  <c r="A38" i="21"/>
  <c r="AE38" i="21"/>
  <c r="A39" i="21"/>
  <c r="AE39" i="21"/>
  <c r="A40" i="21"/>
  <c r="AE40" i="21"/>
  <c r="A41" i="21"/>
  <c r="AE41" i="21"/>
  <c r="A42" i="21"/>
  <c r="AE42" i="21"/>
  <c r="A43" i="21"/>
  <c r="AE43" i="21"/>
  <c r="A44" i="21"/>
  <c r="AE44" i="21"/>
  <c r="A45" i="21"/>
  <c r="AE45" i="21"/>
  <c r="A46" i="21"/>
  <c r="AE46" i="21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 i="21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 i="21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 i="21"/>
  <c r="E16" i="32"/>
  <c r="C15" i="21"/>
  <c r="D16" i="32"/>
  <c r="B15" i="21"/>
  <c r="B16" i="32"/>
  <c r="A9" i="21"/>
  <c r="B9" i="21"/>
  <c r="C17" i="38"/>
  <c r="C18" i="22"/>
  <c r="M5" i="36"/>
  <c r="A9" i="32"/>
  <c r="P71" i="36"/>
  <c r="P72" i="36"/>
  <c r="P73" i="36"/>
  <c r="P74" i="36"/>
  <c r="P75" i="36"/>
  <c r="P76" i="36"/>
  <c r="P77" i="36"/>
  <c r="N71" i="36"/>
  <c r="G76" i="36"/>
  <c r="G71" i="36"/>
  <c r="G72" i="36"/>
  <c r="G73" i="36"/>
  <c r="G74" i="36"/>
  <c r="G75" i="36"/>
  <c r="G77" i="36"/>
  <c r="H71" i="36"/>
  <c r="M35" i="36"/>
  <c r="M65" i="36"/>
  <c r="B9" i="32"/>
  <c r="AI11" i="21"/>
  <c r="AI10" i="21"/>
  <c r="AI9" i="21"/>
  <c r="F9" i="32"/>
  <c r="A10" i="32"/>
  <c r="G57" i="36"/>
  <c r="G58" i="36"/>
  <c r="G59" i="36"/>
  <c r="G60" i="36"/>
  <c r="G61" i="36"/>
  <c r="G62" i="36"/>
  <c r="G63" i="36"/>
  <c r="H57" i="36"/>
  <c r="H51" i="36"/>
  <c r="B10" i="32"/>
  <c r="AI8" i="21"/>
  <c r="F10" i="32"/>
  <c r="A11" i="32"/>
  <c r="B11" i="32"/>
  <c r="AI13" i="21"/>
  <c r="F11" i="32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F15" i="21"/>
  <c r="AG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F16" i="21"/>
  <c r="AG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F17" i="21"/>
  <c r="AG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F19" i="21"/>
  <c r="AG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F20" i="21"/>
  <c r="AG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F21" i="21"/>
  <c r="AG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F22" i="21"/>
  <c r="AG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F23" i="21"/>
  <c r="AG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F24" i="21"/>
  <c r="AG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F25" i="21"/>
  <c r="AG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F26" i="21"/>
  <c r="AG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F27" i="21"/>
  <c r="AG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F28" i="21"/>
  <c r="AG28" i="21"/>
  <c r="AH28" i="21"/>
  <c r="AI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F29" i="21"/>
  <c r="AG29" i="21"/>
  <c r="AH29" i="21"/>
  <c r="AI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AD30" i="21"/>
  <c r="AF30" i="21"/>
  <c r="AG30" i="21"/>
  <c r="AH30" i="21"/>
  <c r="AI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AF31" i="21"/>
  <c r="AG31" i="21"/>
  <c r="AH31" i="21"/>
  <c r="AI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F32" i="21"/>
  <c r="AG32" i="21"/>
  <c r="AH32" i="21"/>
  <c r="AI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AD33" i="21"/>
  <c r="AF33" i="21"/>
  <c r="AG33" i="21"/>
  <c r="AH33" i="21"/>
  <c r="AI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F34" i="21"/>
  <c r="AG34" i="21"/>
  <c r="AH34" i="21"/>
  <c r="AI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F35" i="21"/>
  <c r="AG35" i="21"/>
  <c r="AH35" i="21"/>
  <c r="AI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AD36" i="21"/>
  <c r="AF36" i="21"/>
  <c r="AG36" i="21"/>
  <c r="AH36" i="21"/>
  <c r="AI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F37" i="21"/>
  <c r="AG37" i="21"/>
  <c r="AH37" i="21"/>
  <c r="AI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F38" i="21"/>
  <c r="AG38" i="21"/>
  <c r="AH38" i="21"/>
  <c r="AI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AD39" i="21"/>
  <c r="AF39" i="21"/>
  <c r="AG39" i="21"/>
  <c r="AH39" i="21"/>
  <c r="AI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F40" i="21"/>
  <c r="AG40" i="21"/>
  <c r="AH40" i="21"/>
  <c r="AI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F41" i="21"/>
  <c r="AG41" i="21"/>
  <c r="AH41" i="21"/>
  <c r="AI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F42" i="21"/>
  <c r="AG42" i="21"/>
  <c r="AH42" i="21"/>
  <c r="AI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F43" i="21"/>
  <c r="AG43" i="21"/>
  <c r="AH43" i="21"/>
  <c r="AI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F44" i="21"/>
  <c r="AG44" i="21"/>
  <c r="AH44" i="21"/>
  <c r="AI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F45" i="21"/>
  <c r="AG45" i="21"/>
  <c r="AH45" i="21"/>
  <c r="AI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F46" i="21"/>
  <c r="AG46" i="21"/>
  <c r="AH46" i="21"/>
  <c r="AI46" i="21"/>
  <c r="A12" i="32"/>
  <c r="E12" i="32"/>
  <c r="B12" i="32"/>
  <c r="F12" i="32"/>
  <c r="A13" i="32"/>
  <c r="E13" i="32"/>
  <c r="B13" i="32"/>
  <c r="F13" i="32"/>
  <c r="A14" i="32"/>
  <c r="E14" i="32"/>
  <c r="B14" i="32"/>
  <c r="F14" i="32"/>
  <c r="A15" i="32"/>
  <c r="E15" i="32"/>
  <c r="B15" i="32"/>
  <c r="F15" i="32"/>
  <c r="B8" i="32"/>
  <c r="AI7" i="21"/>
  <c r="F8" i="32"/>
  <c r="E9" i="32"/>
  <c r="E10" i="32"/>
  <c r="E11" i="32"/>
  <c r="AH7" i="21"/>
  <c r="E8" i="32"/>
  <c r="D9" i="32"/>
  <c r="D10" i="32"/>
  <c r="D11" i="32"/>
  <c r="C7" i="21"/>
  <c r="D8" i="32"/>
  <c r="D12" i="32"/>
  <c r="D13" i="32"/>
  <c r="D14" i="32"/>
  <c r="D15" i="32"/>
  <c r="A1" i="32"/>
  <c r="A4" i="32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F13" i="22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L5" i="22"/>
  <c r="K5" i="22"/>
  <c r="L6" i="22"/>
  <c r="K6" i="22"/>
  <c r="L7" i="22"/>
  <c r="K7" i="22"/>
  <c r="L8" i="22"/>
  <c r="K8" i="22"/>
  <c r="J5" i="22"/>
  <c r="J6" i="22"/>
  <c r="J7" i="22"/>
  <c r="J8" i="22"/>
  <c r="K7" i="38"/>
  <c r="K6" i="38"/>
  <c r="K3" i="38"/>
  <c r="K4" i="38"/>
  <c r="K5" i="38"/>
  <c r="I5" i="22"/>
  <c r="I6" i="22"/>
  <c r="I7" i="22"/>
  <c r="I8" i="22"/>
  <c r="J7" i="38"/>
  <c r="J6" i="38"/>
  <c r="J3" i="38"/>
  <c r="J4" i="38"/>
  <c r="J5" i="38"/>
  <c r="H5" i="22"/>
  <c r="H6" i="22"/>
  <c r="H7" i="22"/>
  <c r="H8" i="22"/>
  <c r="L4" i="22"/>
  <c r="K4" i="22"/>
  <c r="J4" i="22"/>
  <c r="I4" i="22"/>
  <c r="H4" i="22"/>
  <c r="N1" i="38"/>
  <c r="L2" i="22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L13" i="22"/>
  <c r="K13" i="22"/>
  <c r="L14" i="22"/>
  <c r="K14" i="22"/>
  <c r="L15" i="22"/>
  <c r="K15" i="22"/>
  <c r="L16" i="22"/>
  <c r="K16" i="22"/>
  <c r="J13" i="22"/>
  <c r="J14" i="22"/>
  <c r="J15" i="22"/>
  <c r="J16" i="22"/>
  <c r="K15" i="38"/>
  <c r="K14" i="38"/>
  <c r="K12" i="38"/>
  <c r="K11" i="38"/>
  <c r="K13" i="38"/>
  <c r="I13" i="22"/>
  <c r="I14" i="22"/>
  <c r="I15" i="22"/>
  <c r="I16" i="22"/>
  <c r="J15" i="38"/>
  <c r="J14" i="38"/>
  <c r="J12" i="38"/>
  <c r="J11" i="38"/>
  <c r="J13" i="38"/>
  <c r="H13" i="22"/>
  <c r="H14" i="22"/>
  <c r="H15" i="22"/>
  <c r="H16" i="22"/>
  <c r="L12" i="22"/>
  <c r="K12" i="22"/>
  <c r="J12" i="22"/>
  <c r="I12" i="22"/>
  <c r="H12" i="22"/>
  <c r="N9" i="38"/>
  <c r="L10" i="22"/>
  <c r="N17" i="38"/>
  <c r="L18" i="22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L21" i="22"/>
  <c r="K21" i="22"/>
  <c r="L22" i="22"/>
  <c r="K22" i="22"/>
  <c r="L23" i="22"/>
  <c r="K23" i="22"/>
  <c r="L24" i="22"/>
  <c r="K24" i="22"/>
  <c r="J21" i="22"/>
  <c r="J22" i="22"/>
  <c r="J23" i="22"/>
  <c r="J24" i="22"/>
  <c r="K23" i="38"/>
  <c r="K21" i="38"/>
  <c r="K22" i="38"/>
  <c r="K19" i="38"/>
  <c r="K20" i="38"/>
  <c r="I21" i="22"/>
  <c r="I22" i="22"/>
  <c r="I23" i="22"/>
  <c r="I24" i="22"/>
  <c r="J23" i="38"/>
  <c r="J21" i="38"/>
  <c r="J22" i="38"/>
  <c r="J19" i="38"/>
  <c r="J20" i="38"/>
  <c r="H21" i="22"/>
  <c r="H22" i="22"/>
  <c r="H23" i="22"/>
  <c r="H24" i="22"/>
  <c r="L20" i="22"/>
  <c r="H20" i="22"/>
  <c r="J20" i="22"/>
  <c r="K20" i="22"/>
  <c r="I20" i="22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L29" i="22"/>
  <c r="K29" i="38"/>
  <c r="K30" i="38"/>
  <c r="K27" i="38"/>
  <c r="K28" i="38"/>
  <c r="K31" i="38"/>
  <c r="I29" i="22"/>
  <c r="L30" i="22"/>
  <c r="I30" i="22"/>
  <c r="L31" i="22"/>
  <c r="I31" i="22"/>
  <c r="L32" i="22"/>
  <c r="I32" i="22"/>
  <c r="J29" i="22"/>
  <c r="J30" i="22"/>
  <c r="J31" i="22"/>
  <c r="J32" i="22"/>
  <c r="K29" i="22"/>
  <c r="K30" i="22"/>
  <c r="K31" i="22"/>
  <c r="K32" i="22"/>
  <c r="J29" i="38"/>
  <c r="J30" i="38"/>
  <c r="J27" i="38"/>
  <c r="J28" i="38"/>
  <c r="J31" i="38"/>
  <c r="H29" i="22"/>
  <c r="H30" i="22"/>
  <c r="H31" i="22"/>
  <c r="H32" i="22"/>
  <c r="L28" i="22"/>
  <c r="K28" i="22"/>
  <c r="J28" i="22"/>
  <c r="I28" i="22"/>
  <c r="H28" i="22"/>
  <c r="N25" i="38"/>
  <c r="L26" i="22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F29" i="22"/>
  <c r="C29" i="38"/>
  <c r="C30" i="38"/>
  <c r="C27" i="38"/>
  <c r="C28" i="38"/>
  <c r="C31" i="38"/>
  <c r="C29" i="22"/>
  <c r="F30" i="22"/>
  <c r="C30" i="22"/>
  <c r="F31" i="22"/>
  <c r="C31" i="22"/>
  <c r="F32" i="22"/>
  <c r="C32" i="22"/>
  <c r="D29" i="22"/>
  <c r="D30" i="22"/>
  <c r="D31" i="22"/>
  <c r="D32" i="22"/>
  <c r="E29" i="22"/>
  <c r="E30" i="22"/>
  <c r="E31" i="22"/>
  <c r="E32" i="22"/>
  <c r="B29" i="38"/>
  <c r="B30" i="38"/>
  <c r="B27" i="38"/>
  <c r="B28" i="38"/>
  <c r="B31" i="38"/>
  <c r="B29" i="22"/>
  <c r="B30" i="22"/>
  <c r="B31" i="22"/>
  <c r="B32" i="22"/>
  <c r="F28" i="22"/>
  <c r="E28" i="22"/>
  <c r="D28" i="22"/>
  <c r="B28" i="22"/>
  <c r="C28" i="22"/>
  <c r="F25" i="38"/>
  <c r="F26" i="22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F21" i="22"/>
  <c r="E21" i="22"/>
  <c r="F22" i="22"/>
  <c r="E22" i="22"/>
  <c r="F23" i="22"/>
  <c r="E23" i="22"/>
  <c r="F24" i="22"/>
  <c r="E24" i="22"/>
  <c r="D21" i="22"/>
  <c r="D22" i="22"/>
  <c r="D23" i="22"/>
  <c r="D24" i="22"/>
  <c r="C22" i="38"/>
  <c r="C19" i="38"/>
  <c r="C20" i="38"/>
  <c r="C23" i="38"/>
  <c r="C21" i="38"/>
  <c r="C21" i="22"/>
  <c r="C22" i="22"/>
  <c r="C23" i="22"/>
  <c r="C24" i="22"/>
  <c r="F20" i="22"/>
  <c r="E20" i="22"/>
  <c r="D20" i="22"/>
  <c r="C20" i="22"/>
  <c r="B22" i="38"/>
  <c r="B19" i="38"/>
  <c r="B20" i="38"/>
  <c r="B23" i="38"/>
  <c r="B21" i="38"/>
  <c r="B21" i="22"/>
  <c r="B22" i="22"/>
  <c r="B23" i="22"/>
  <c r="B24" i="22"/>
  <c r="B20" i="22"/>
  <c r="F17" i="38"/>
  <c r="F18" i="22"/>
  <c r="F16" i="22"/>
  <c r="F15" i="22"/>
  <c r="F14" i="22"/>
  <c r="E13" i="22"/>
  <c r="E14" i="22"/>
  <c r="E15" i="22"/>
  <c r="E16" i="22"/>
  <c r="D13" i="22"/>
  <c r="D14" i="22"/>
  <c r="D15" i="22"/>
  <c r="D16" i="22"/>
  <c r="C14" i="38"/>
  <c r="C11" i="38"/>
  <c r="C12" i="38"/>
  <c r="C15" i="38"/>
  <c r="C13" i="38"/>
  <c r="C13" i="22"/>
  <c r="C14" i="22"/>
  <c r="C15" i="22"/>
  <c r="C16" i="22"/>
  <c r="B14" i="38"/>
  <c r="B11" i="38"/>
  <c r="B12" i="38"/>
  <c r="B15" i="38"/>
  <c r="B13" i="38"/>
  <c r="B13" i="22"/>
  <c r="B14" i="22"/>
  <c r="B15" i="22"/>
  <c r="B16" i="22"/>
  <c r="F12" i="22"/>
  <c r="E12" i="22"/>
  <c r="D12" i="22"/>
  <c r="C12" i="22"/>
  <c r="B12" i="22"/>
  <c r="H7" i="21"/>
  <c r="F3" i="38"/>
  <c r="I7" i="21"/>
  <c r="G3" i="38"/>
  <c r="G7" i="21"/>
  <c r="E3" i="38"/>
  <c r="F7" i="21"/>
  <c r="D3" i="38"/>
  <c r="A3" i="38"/>
  <c r="N7" i="21"/>
  <c r="F4" i="38"/>
  <c r="O7" i="21"/>
  <c r="G4" i="38"/>
  <c r="M7" i="21"/>
  <c r="E4" i="38"/>
  <c r="L7" i="21"/>
  <c r="D4" i="38"/>
  <c r="A4" i="38"/>
  <c r="T7" i="21"/>
  <c r="F5" i="38"/>
  <c r="U7" i="21"/>
  <c r="G5" i="38"/>
  <c r="S7" i="21"/>
  <c r="E5" i="38"/>
  <c r="R7" i="21"/>
  <c r="D5" i="38"/>
  <c r="A5" i="38"/>
  <c r="Z7" i="21"/>
  <c r="F6" i="38"/>
  <c r="AA7" i="21"/>
  <c r="G6" i="38"/>
  <c r="Y7" i="21"/>
  <c r="E6" i="38"/>
  <c r="X7" i="21"/>
  <c r="D6" i="38"/>
  <c r="A6" i="38"/>
  <c r="AF7" i="21"/>
  <c r="F7" i="38"/>
  <c r="AG7" i="21"/>
  <c r="G7" i="38"/>
  <c r="AE7" i="21"/>
  <c r="E7" i="38"/>
  <c r="AD7" i="21"/>
  <c r="D7" i="38"/>
  <c r="A7" i="38"/>
  <c r="F5" i="22"/>
  <c r="E5" i="22"/>
  <c r="F6" i="22"/>
  <c r="E6" i="22"/>
  <c r="F7" i="22"/>
  <c r="E7" i="22"/>
  <c r="F8" i="22"/>
  <c r="E8" i="22"/>
  <c r="F4" i="22"/>
  <c r="E4" i="22"/>
  <c r="D5" i="22"/>
  <c r="D6" i="22"/>
  <c r="D7" i="22"/>
  <c r="D8" i="22"/>
  <c r="W7" i="21"/>
  <c r="C6" i="38"/>
  <c r="K7" i="21"/>
  <c r="C4" i="38"/>
  <c r="Q7" i="21"/>
  <c r="C5" i="38"/>
  <c r="AC7" i="21"/>
  <c r="C7" i="38"/>
  <c r="E7" i="21"/>
  <c r="C3" i="38"/>
  <c r="C5" i="22"/>
  <c r="C6" i="22"/>
  <c r="C7" i="22"/>
  <c r="C8" i="22"/>
  <c r="D4" i="22"/>
  <c r="C4" i="22"/>
  <c r="V7" i="21"/>
  <c r="B6" i="38"/>
  <c r="J7" i="21"/>
  <c r="B4" i="38"/>
  <c r="P7" i="21"/>
  <c r="B5" i="38"/>
  <c r="AB7" i="21"/>
  <c r="B7" i="38"/>
  <c r="D7" i="21"/>
  <c r="B3" i="38"/>
  <c r="B5" i="22"/>
  <c r="B6" i="22"/>
  <c r="B7" i="22"/>
  <c r="B8" i="22"/>
  <c r="B4" i="22"/>
  <c r="F9" i="38"/>
  <c r="F10" i="22"/>
  <c r="F1" i="38"/>
  <c r="F2" i="22"/>
  <c r="J25" i="38"/>
  <c r="B25" i="38"/>
  <c r="J17" i="38"/>
  <c r="B17" i="38"/>
  <c r="J9" i="38"/>
  <c r="J1" i="38"/>
  <c r="H2" i="22"/>
  <c r="H10" i="22"/>
  <c r="B18" i="22"/>
  <c r="H18" i="22"/>
  <c r="B26" i="22"/>
  <c r="H26" i="22"/>
  <c r="C6" i="36"/>
  <c r="H6" i="36"/>
  <c r="M6" i="36"/>
  <c r="R6" i="36"/>
  <c r="C7" i="36"/>
  <c r="H7" i="36"/>
  <c r="M7" i="36"/>
  <c r="R7" i="36"/>
  <c r="C8" i="36"/>
  <c r="H8" i="36"/>
  <c r="M8" i="36"/>
  <c r="R8" i="36"/>
  <c r="C9" i="36"/>
  <c r="H9" i="36"/>
  <c r="M9" i="36"/>
  <c r="R9" i="36"/>
  <c r="C10" i="36"/>
  <c r="H10" i="36"/>
  <c r="M10" i="36"/>
  <c r="R10" i="36"/>
  <c r="C20" i="36"/>
  <c r="H20" i="36"/>
  <c r="M20" i="36"/>
  <c r="R20" i="36"/>
  <c r="C21" i="36"/>
  <c r="H21" i="36"/>
  <c r="M21" i="36"/>
  <c r="R21" i="36"/>
  <c r="C22" i="36"/>
  <c r="H22" i="36"/>
  <c r="M22" i="36"/>
  <c r="R22" i="36"/>
  <c r="C23" i="36"/>
  <c r="H23" i="36"/>
  <c r="M23" i="36"/>
  <c r="R23" i="36"/>
  <c r="C24" i="36"/>
  <c r="H24" i="36"/>
  <c r="M24" i="36"/>
  <c r="R24" i="36"/>
  <c r="C36" i="36"/>
  <c r="H36" i="36"/>
  <c r="M36" i="36"/>
  <c r="R36" i="36"/>
  <c r="C37" i="36"/>
  <c r="H37" i="36"/>
  <c r="M37" i="36"/>
  <c r="R37" i="36"/>
  <c r="C38" i="36"/>
  <c r="H38" i="36"/>
  <c r="M38" i="36"/>
  <c r="R38" i="36"/>
  <c r="C39" i="36"/>
  <c r="H39" i="36"/>
  <c r="M39" i="36"/>
  <c r="R39" i="36"/>
  <c r="C40" i="36"/>
  <c r="H40" i="36"/>
  <c r="M40" i="36"/>
  <c r="R40" i="36"/>
  <c r="H52" i="36"/>
  <c r="M52" i="36"/>
  <c r="H53" i="36"/>
  <c r="M53" i="36"/>
  <c r="H54" i="36"/>
  <c r="M54" i="36"/>
  <c r="H55" i="36"/>
  <c r="M55" i="36"/>
  <c r="H56" i="36"/>
  <c r="M56" i="36"/>
  <c r="H66" i="36"/>
  <c r="M66" i="36"/>
  <c r="H67" i="36"/>
  <c r="M67" i="36"/>
  <c r="H68" i="36"/>
  <c r="M68" i="36"/>
  <c r="H69" i="36"/>
  <c r="M69" i="36"/>
  <c r="H70" i="36"/>
  <c r="M70" i="36"/>
</calcChain>
</file>

<file path=xl/sharedStrings.xml><?xml version="1.0" encoding="utf-8"?>
<sst xmlns="http://schemas.openxmlformats.org/spreadsheetml/2006/main" count="212" uniqueCount="86">
  <si>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</si>
  <si>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</si>
  <si>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</si>
  <si>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</si>
  <si>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</si>
  <si>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</si>
  <si>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</si>
  <si>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</si>
  <si>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</si>
  <si>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</si>
  <si>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</si>
  <si>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</si>
  <si>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</si>
  <si>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</si>
  <si>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</si>
  <si>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</si>
  <si>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</si>
  <si>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</si>
  <si>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</si>
  <si>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</si>
  <si>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</si>
  <si>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</si>
  <si>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</si>
  <si>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</si>
  <si>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</si>
  <si>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</si>
  <si>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</si>
  <si>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</si>
  <si>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</si>
  <si>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</si>
  <si>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</si>
  <si>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</si>
  <si>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</si>
  <si>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</si>
  <si>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</si>
  <si>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</si>
  <si>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</si>
  <si>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</si>
  <si>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</si>
  <si>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</si>
  <si>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</si>
  <si>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</si>
  <si>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</si>
  <si>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</si>
  <si>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</si>
  <si>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</si>
  <si>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</si>
  <si>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</si>
  <si>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</si>
  <si>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</si>
  <si>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</si>
  <si>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</si>
  <si>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</si>
  <si>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</si>
  <si>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</si>
  <si>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</si>
  <si>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14-15</t>
  </si>
  <si>
    <t>CT MODANE</t>
  </si>
  <si>
    <t>PISTOLET</t>
  </si>
  <si>
    <t>CT CHAMBERY</t>
  </si>
  <si>
    <t>TOS</t>
  </si>
  <si>
    <t>SAINT BALDOPH</t>
  </si>
  <si>
    <t>PERRET Madeleine</t>
  </si>
  <si>
    <t>mado.perret@orange.fr</t>
  </si>
  <si>
    <t>FRATERNELLE AIX</t>
  </si>
  <si>
    <t>BAUDRIN Jean</t>
  </si>
  <si>
    <t>MARMORAT Catherine</t>
  </si>
  <si>
    <t>KOVACS Julien</t>
  </si>
  <si>
    <t>YARD Jean</t>
  </si>
  <si>
    <t>RIONDET lionel</t>
  </si>
  <si>
    <t>BOUFFARD Jacqueline</t>
  </si>
  <si>
    <t>PETINGA Priscilla</t>
  </si>
  <si>
    <t>GUPUIT Anne</t>
  </si>
  <si>
    <t>PERRET Jean-François</t>
  </si>
  <si>
    <t>GIANSILY Philippe</t>
  </si>
  <si>
    <t>SOUFI Fayçal</t>
  </si>
  <si>
    <t>HISLER Julien</t>
  </si>
  <si>
    <t>DERESSE Françoise</t>
  </si>
  <si>
    <t>CHANEL Angélique</t>
  </si>
  <si>
    <t>GAMBIER Clément</t>
  </si>
  <si>
    <t>BERNARD Louis</t>
  </si>
  <si>
    <t>GARDARIN Frédérique</t>
  </si>
  <si>
    <t>CHAPELOT Denise</t>
  </si>
  <si>
    <t>FANCINELLI Sébastien</t>
  </si>
  <si>
    <t>CROZE Jean-Philippe</t>
  </si>
  <si>
    <t xml:space="preserve"> SAVOIE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</si>
</sst>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672001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C19"/>
  <sheetViews>
    <sheetView showGridLines="0" workbookViewId="0">
      <selection activeCell="B12" sqref="B12"/>
    </sheetView>
  </sheetViews>
  <sheetFormatPr baseColWidth="10" defaultColWidth="10.7109375" defaultRowHeight="12" x14ac:dyDescent="0"/>
  <cols>
    <col min="1" max="1" width="17.7109375" style="78" customWidth="1"/>
    <col min="2" max="2" width="29.7109375" style="78" customWidth="1"/>
    <col min="3" max="3" width="30.85546875" style="78" customWidth="1"/>
    <col min="4" max="4" width="2.7109375" style="78" customWidth="1"/>
    <col min="5" max="16384" width="10.7109375" style="78"/>
  </cols>
  <sheetData>
    <row r="1" spans="1:3" ht="97" customHeight="1">
      <c r="A1" s="231" t="s">
        <v>46</v>
      </c>
      <c r="B1" s="232"/>
      <c r="C1" s="232"/>
    </row>
    <row r="2" spans="1:3" ht="25" customHeight="1">
      <c r="A2" s="233"/>
      <c r="B2" s="233"/>
      <c r="C2" s="233"/>
    </row>
    <row r="3" spans="1:3" ht="25" customHeight="1">
      <c r="A3" s="236" t="s">
        <v>22</v>
      </c>
      <c r="B3" s="236"/>
      <c r="C3" s="236"/>
    </row>
    <row r="4" spans="1:3" ht="25" customHeight="1">
      <c r="A4" s="79" t="s">
        <v>27</v>
      </c>
      <c r="B4" s="64">
        <v>40553</v>
      </c>
      <c r="C4" s="80"/>
    </row>
    <row r="5" spans="1:3" ht="25" customHeight="1">
      <c r="A5" s="79" t="s">
        <v>28</v>
      </c>
      <c r="B5" s="6" t="s">
        <v>61</v>
      </c>
      <c r="C5" s="80"/>
    </row>
    <row r="6" spans="1:3" ht="25" customHeight="1">
      <c r="A6" s="79" t="s">
        <v>25</v>
      </c>
      <c r="B6" s="46" t="s">
        <v>56</v>
      </c>
      <c r="C6" s="80"/>
    </row>
    <row r="7" spans="1:3" ht="25" customHeight="1">
      <c r="A7" s="79" t="s">
        <v>6</v>
      </c>
      <c r="B7" s="6" t="s">
        <v>58</v>
      </c>
      <c r="C7" s="80" t="s">
        <v>24</v>
      </c>
    </row>
    <row r="8" spans="1:3" ht="25" customHeight="1">
      <c r="A8" s="79" t="s">
        <v>17</v>
      </c>
      <c r="B8" s="77">
        <v>4</v>
      </c>
      <c r="C8" s="80"/>
    </row>
    <row r="9" spans="1:3" ht="25" customHeight="1">
      <c r="A9" s="5" t="s">
        <v>23</v>
      </c>
      <c r="B9" s="57" t="s">
        <v>85</v>
      </c>
      <c r="C9" s="80" t="s">
        <v>19</v>
      </c>
    </row>
    <row r="10" spans="1:3" ht="25" customHeight="1">
      <c r="A10" s="81"/>
      <c r="B10" s="81"/>
      <c r="C10" s="82"/>
    </row>
    <row r="11" spans="1:3" ht="2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62</v>
      </c>
      <c r="C12" s="83"/>
    </row>
    <row r="13" spans="1:3" ht="30" customHeight="1">
      <c r="A13" s="5" t="s">
        <v>8</v>
      </c>
      <c r="B13" s="9"/>
      <c r="C13" s="80"/>
    </row>
    <row r="14" spans="1:3" ht="30" customHeight="1">
      <c r="A14" s="5" t="s">
        <v>20</v>
      </c>
      <c r="B14" s="11" t="s">
        <v>63</v>
      </c>
      <c r="C14" s="84"/>
    </row>
    <row r="16" spans="1:3" ht="92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X7" activePane="bottomRight" state="frozenSplit"/>
      <selection pane="topRight" activeCell="E1" sqref="E1"/>
      <selection pane="bottomLeft" activeCell="A3" sqref="A3"/>
      <selection pane="bottomRight" activeCell="AJ11" sqref="AJ11"/>
    </sheetView>
  </sheetViews>
  <sheetFormatPr baseColWidth="10" defaultColWidth="10.7109375" defaultRowHeight="44" outlineLevelCol="1" x14ac:dyDescent="0"/>
  <cols>
    <col min="1" max="1" width="29.140625" style="121" customWidth="1"/>
    <col min="2" max="2" width="35.85546875" style="122" customWidth="1" outlineLevel="1"/>
    <col min="3" max="3" width="64" style="123" bestFit="1" customWidth="1"/>
    <col min="4" max="4" width="33.7109375" style="123" customWidth="1"/>
    <col min="5" max="5" width="100.28515625" style="123" customWidth="1"/>
    <col min="6" max="8" width="20.140625" style="87" customWidth="1"/>
    <col min="9" max="9" width="21.28515625" style="87" customWidth="1"/>
    <col min="10" max="10" width="10.85546875" style="87" hidden="1" customWidth="1"/>
    <col min="11" max="11" width="100.28515625" style="123" customWidth="1"/>
    <col min="12" max="12" width="20.140625" style="124" customWidth="1"/>
    <col min="13" max="14" width="20.140625" style="87" customWidth="1"/>
    <col min="15" max="15" width="21.28515625" style="87" customWidth="1"/>
    <col min="16" max="16" width="10.5703125" style="87" hidden="1" customWidth="1"/>
    <col min="17" max="17" width="100.28515625" style="123" customWidth="1"/>
    <col min="18" max="19" width="20.140625" style="87" customWidth="1"/>
    <col min="20" max="20" width="20.140625" style="124" customWidth="1"/>
    <col min="21" max="21" width="21.140625" style="87" customWidth="1"/>
    <col min="22" max="22" width="10.7109375" style="87" hidden="1" customWidth="1"/>
    <col min="23" max="23" width="100.28515625" style="123" customWidth="1"/>
    <col min="24" max="26" width="20.140625" style="87" customWidth="1"/>
    <col min="27" max="27" width="21.140625" style="87" customWidth="1"/>
    <col min="28" max="28" width="10.7109375" style="87" hidden="1" customWidth="1"/>
    <col min="29" max="29" width="100.28515625" style="125" customWidth="1"/>
    <col min="30" max="32" width="20.140625" style="87" customWidth="1"/>
    <col min="33" max="33" width="21.140625" style="87" customWidth="1"/>
    <col min="34" max="34" width="10.7109375" style="87" hidden="1" customWidth="1"/>
    <col min="35" max="35" width="23.140625" style="87" customWidth="1"/>
    <col min="36" max="36" width="0.5703125" style="126" customWidth="1"/>
    <col min="37" max="37" width="9.28515625" style="86" customWidth="1"/>
    <col min="38" max="38" width="73.7109375" style="87" hidden="1" customWidth="1" outlineLevel="1"/>
    <col min="39" max="39" width="14.7109375" style="86" customWidth="1" collapsed="1"/>
    <col min="40" max="45" width="14.7109375" style="86" customWidth="1"/>
    <col min="46" max="16384" width="10.7109375" style="86"/>
  </cols>
  <sheetData>
    <row r="1" spans="1:38" ht="44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4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" customHeight="1">
      <c r="A3" s="240" t="str">
        <f>CONCATENATE("MATCH DE QUALIFICATION"," - ",INFO!B7," - ",INFO!B9)</f>
        <v>MATCH DE QUALIFICATION - PISTOLET -  SAVOIE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4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2</v>
      </c>
      <c r="C7" s="97" t="s">
        <v>57</v>
      </c>
      <c r="D7" s="98">
        <v>2073186</v>
      </c>
      <c r="E7" s="99" t="s">
        <v>65</v>
      </c>
      <c r="F7" s="154">
        <v>80</v>
      </c>
      <c r="G7" s="154">
        <v>91</v>
      </c>
      <c r="H7" s="154">
        <v>90</v>
      </c>
      <c r="I7" s="155">
        <f t="shared" ref="I7" si="1">SUM(F7:H7)</f>
        <v>261</v>
      </c>
      <c r="J7" s="100"/>
      <c r="K7" s="101" t="s">
        <v>66</v>
      </c>
      <c r="L7" s="154">
        <v>82</v>
      </c>
      <c r="M7" s="154">
        <v>83</v>
      </c>
      <c r="N7" s="160">
        <v>85</v>
      </c>
      <c r="O7" s="161">
        <f t="shared" ref="O7" si="2">SUM(L7:N7)</f>
        <v>250</v>
      </c>
      <c r="P7" s="102"/>
      <c r="Q7" s="101" t="s">
        <v>67</v>
      </c>
      <c r="R7" s="154">
        <v>92</v>
      </c>
      <c r="S7" s="154">
        <v>91</v>
      </c>
      <c r="T7" s="160">
        <v>89</v>
      </c>
      <c r="U7" s="161">
        <f t="shared" ref="U7" si="3">SUM(R7:T7)</f>
        <v>272</v>
      </c>
      <c r="V7" s="102"/>
      <c r="W7" s="101" t="s">
        <v>68</v>
      </c>
      <c r="X7" s="154">
        <v>85</v>
      </c>
      <c r="Y7" s="154">
        <v>86</v>
      </c>
      <c r="Z7" s="160">
        <v>81</v>
      </c>
      <c r="AA7" s="161">
        <f t="shared" ref="AA7" si="4">SUM(X7:Z7)</f>
        <v>252</v>
      </c>
      <c r="AB7" s="102"/>
      <c r="AC7" s="101" t="s">
        <v>69</v>
      </c>
      <c r="AD7" s="154">
        <v>76</v>
      </c>
      <c r="AE7" s="154">
        <v>87</v>
      </c>
      <c r="AF7" s="160">
        <v>79</v>
      </c>
      <c r="AG7" s="161">
        <f t="shared" ref="AG7" si="5">SUM(AD7:AF7)</f>
        <v>242</v>
      </c>
      <c r="AH7" s="102"/>
      <c r="AI7" s="166">
        <f>SUM(I7+O7+U7+AA7+AG7)</f>
        <v>1277</v>
      </c>
      <c r="AJ7" s="103">
        <f>J7+P7+V7+AB7+AH7</f>
        <v>0</v>
      </c>
      <c r="AL7" s="105">
        <f>I7+O7+U7+AA7+AG7+(0.000001*(J7+P7+V7+AB7+AH7))+(0.000000001*(H7+N7+T7+Z7+AF7))+(0.000000000001*(G7+M7+S7+Y7+AE7))</f>
        <v>1277.000000424438</v>
      </c>
    </row>
    <row r="8" spans="1:38" s="104" customFormat="1" ht="120" customHeight="1">
      <c r="A8" s="106">
        <v>2</v>
      </c>
      <c r="B8" s="152">
        <f t="shared" si="0"/>
        <v>1</v>
      </c>
      <c r="C8" s="107" t="s">
        <v>59</v>
      </c>
      <c r="D8" s="108">
        <v>2073010</v>
      </c>
      <c r="E8" s="109" t="s">
        <v>70</v>
      </c>
      <c r="F8" s="156">
        <v>90</v>
      </c>
      <c r="G8" s="156">
        <v>92</v>
      </c>
      <c r="H8" s="156">
        <v>91</v>
      </c>
      <c r="I8" s="157">
        <f>SUM(F8:H8)</f>
        <v>273</v>
      </c>
      <c r="J8" s="110"/>
      <c r="K8" s="111" t="s">
        <v>71</v>
      </c>
      <c r="L8" s="156">
        <v>93</v>
      </c>
      <c r="M8" s="156">
        <v>95</v>
      </c>
      <c r="N8" s="162">
        <v>90</v>
      </c>
      <c r="O8" s="163">
        <f>SUM(L8:N8)</f>
        <v>278</v>
      </c>
      <c r="P8" s="112"/>
      <c r="Q8" s="111" t="s">
        <v>72</v>
      </c>
      <c r="R8" s="156">
        <v>91</v>
      </c>
      <c r="S8" s="156">
        <v>93</v>
      </c>
      <c r="T8" s="162">
        <v>93</v>
      </c>
      <c r="U8" s="163">
        <f>SUM(R8:T8)</f>
        <v>277</v>
      </c>
      <c r="V8" s="112"/>
      <c r="W8" s="111" t="s">
        <v>73</v>
      </c>
      <c r="X8" s="156">
        <v>92</v>
      </c>
      <c r="Y8" s="156">
        <v>91</v>
      </c>
      <c r="Z8" s="162">
        <v>94</v>
      </c>
      <c r="AA8" s="163">
        <f>SUM(X8:Z8)</f>
        <v>277</v>
      </c>
      <c r="AB8" s="112"/>
      <c r="AC8" s="111" t="s">
        <v>74</v>
      </c>
      <c r="AD8" s="156">
        <v>89</v>
      </c>
      <c r="AE8" s="156">
        <v>90</v>
      </c>
      <c r="AF8" s="162">
        <v>96</v>
      </c>
      <c r="AG8" s="163">
        <f>SUM(AD8:AF8)</f>
        <v>275</v>
      </c>
      <c r="AH8" s="112"/>
      <c r="AI8" s="167">
        <f>SUM(I8+O8+U8+AA8+AG8)</f>
        <v>1380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1380.000000464461</v>
      </c>
    </row>
    <row r="9" spans="1:38" s="104" customFormat="1" ht="120" customHeight="1">
      <c r="A9" s="106">
        <v>3</v>
      </c>
      <c r="B9" s="152">
        <f t="shared" si="0"/>
        <v>3</v>
      </c>
      <c r="C9" s="107" t="s">
        <v>60</v>
      </c>
      <c r="D9" s="108">
        <v>2073190</v>
      </c>
      <c r="E9" s="109" t="s">
        <v>75</v>
      </c>
      <c r="F9" s="156">
        <v>86</v>
      </c>
      <c r="G9" s="156">
        <v>85</v>
      </c>
      <c r="H9" s="156">
        <v>89</v>
      </c>
      <c r="I9" s="157">
        <f>SUM(F9:H9)</f>
        <v>260</v>
      </c>
      <c r="J9" s="110"/>
      <c r="K9" s="111" t="s">
        <v>76</v>
      </c>
      <c r="L9" s="156">
        <v>92</v>
      </c>
      <c r="M9" s="156">
        <v>92</v>
      </c>
      <c r="N9" s="162">
        <v>95</v>
      </c>
      <c r="O9" s="163">
        <f>SUM(L9:N9)</f>
        <v>279</v>
      </c>
      <c r="P9" s="112"/>
      <c r="Q9" s="111" t="s">
        <v>77</v>
      </c>
      <c r="R9" s="156">
        <v>86</v>
      </c>
      <c r="S9" s="156">
        <v>86</v>
      </c>
      <c r="T9" s="162">
        <v>94</v>
      </c>
      <c r="U9" s="163">
        <f>SUM(R9:T9)</f>
        <v>266</v>
      </c>
      <c r="V9" s="112"/>
      <c r="W9" s="111" t="s">
        <v>78</v>
      </c>
      <c r="X9" s="156">
        <v>76</v>
      </c>
      <c r="Y9" s="156">
        <v>89</v>
      </c>
      <c r="Z9" s="162">
        <v>90</v>
      </c>
      <c r="AA9" s="163">
        <f>SUM(X9:Z9)</f>
        <v>255</v>
      </c>
      <c r="AB9" s="112"/>
      <c r="AC9" s="111" t="s">
        <v>79</v>
      </c>
      <c r="AD9" s="156">
        <v>73</v>
      </c>
      <c r="AE9" s="156">
        <v>67</v>
      </c>
      <c r="AF9" s="162">
        <v>71</v>
      </c>
      <c r="AG9" s="163">
        <f>SUM(AD9:AF9)</f>
        <v>211</v>
      </c>
      <c r="AH9" s="112"/>
      <c r="AI9" s="167">
        <f>SUM(I9+O9+U9+AA9+AG9)</f>
        <v>1271</v>
      </c>
      <c r="AJ9" s="113">
        <f t="shared" si="6"/>
        <v>0</v>
      </c>
      <c r="AL9" s="105">
        <f t="shared" si="7"/>
        <v>1271.000000439419</v>
      </c>
    </row>
    <row r="10" spans="1:38" s="104" customFormat="1" ht="120" customHeight="1">
      <c r="A10" s="106">
        <v>4</v>
      </c>
      <c r="B10" s="152">
        <f t="shared" si="0"/>
        <v>4</v>
      </c>
      <c r="C10" s="107" t="s">
        <v>64</v>
      </c>
      <c r="D10" s="108">
        <v>2073128</v>
      </c>
      <c r="E10" s="109" t="s">
        <v>80</v>
      </c>
      <c r="F10" s="156">
        <v>79</v>
      </c>
      <c r="G10" s="156">
        <v>85</v>
      </c>
      <c r="H10" s="156">
        <v>77</v>
      </c>
      <c r="I10" s="157">
        <f t="shared" ref="I10:I26" si="8">SUM(F10:H10)</f>
        <v>241</v>
      </c>
      <c r="J10" s="110"/>
      <c r="K10" s="111" t="s">
        <v>81</v>
      </c>
      <c r="L10" s="156">
        <v>83</v>
      </c>
      <c r="M10" s="156">
        <v>71</v>
      </c>
      <c r="N10" s="162">
        <v>73</v>
      </c>
      <c r="O10" s="163">
        <f t="shared" ref="O10:O26" si="9">SUM(L10:N10)</f>
        <v>227</v>
      </c>
      <c r="P10" s="112"/>
      <c r="Q10" s="111" t="s">
        <v>82</v>
      </c>
      <c r="R10" s="156">
        <v>90</v>
      </c>
      <c r="S10" s="156">
        <v>88</v>
      </c>
      <c r="T10" s="162">
        <v>95</v>
      </c>
      <c r="U10" s="163">
        <f t="shared" ref="U10:U26" si="10">SUM(R10:T10)</f>
        <v>273</v>
      </c>
      <c r="V10" s="112"/>
      <c r="W10" s="111" t="s">
        <v>83</v>
      </c>
      <c r="X10" s="156">
        <v>90</v>
      </c>
      <c r="Y10" s="156">
        <v>89</v>
      </c>
      <c r="Z10" s="162">
        <v>91</v>
      </c>
      <c r="AA10" s="163">
        <f t="shared" ref="AA10:AA26" si="11">SUM(X10:Z10)</f>
        <v>270</v>
      </c>
      <c r="AB10" s="112"/>
      <c r="AC10" s="111" t="s">
        <v>84</v>
      </c>
      <c r="AD10" s="156">
        <v>84</v>
      </c>
      <c r="AE10" s="156">
        <v>81</v>
      </c>
      <c r="AF10" s="162">
        <v>87</v>
      </c>
      <c r="AG10" s="163">
        <f t="shared" ref="AG10:AG26" si="12">SUM(AD10:AF10)</f>
        <v>252</v>
      </c>
      <c r="AH10" s="112"/>
      <c r="AI10" s="167">
        <f t="shared" ref="AI10:AI26" si="13">SUM(I10+O10+U10+AA10+AG10)</f>
        <v>1263</v>
      </c>
      <c r="AJ10" s="113">
        <f t="shared" si="6"/>
        <v>0</v>
      </c>
      <c r="AL10" s="105">
        <f t="shared" si="7"/>
        <v>1263.0000004234141</v>
      </c>
    </row>
    <row r="11" spans="1:38" s="104" customFormat="1" ht="120" customHeight="1">
      <c r="A11" s="106">
        <v>5</v>
      </c>
      <c r="B11" s="152">
        <f t="shared" si="0"/>
        <v>5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5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5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5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5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5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5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5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5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5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5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5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5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5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5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5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109375" defaultRowHeight="44" x14ac:dyDescent="0"/>
  <cols>
    <col min="1" max="1" width="15.42578125" style="195" customWidth="1"/>
    <col min="2" max="2" width="64.7109375" style="196" bestFit="1" customWidth="1"/>
    <col min="3" max="3" width="23.7109375" style="196" customWidth="1"/>
    <col min="4" max="4" width="51" style="196" customWidth="1"/>
    <col min="5" max="7" width="14.7109375" style="196" customWidth="1"/>
    <col min="8" max="8" width="15" style="197" customWidth="1"/>
    <col min="9" max="9" width="10.7109375" style="198" hidden="1" customWidth="1"/>
    <col min="10" max="10" width="51" style="196" customWidth="1"/>
    <col min="11" max="13" width="14.7109375" style="196" customWidth="1"/>
    <col min="14" max="14" width="16.85546875" style="197" customWidth="1"/>
    <col min="15" max="15" width="10.7109375" style="198" hidden="1" customWidth="1"/>
    <col min="16" max="16" width="51" style="196" customWidth="1"/>
    <col min="17" max="19" width="14.7109375" style="196" customWidth="1"/>
    <col min="20" max="20" width="16.42578125" style="197" customWidth="1"/>
    <col min="21" max="21" width="10.7109375" style="198" hidden="1" customWidth="1"/>
    <col min="22" max="22" width="51" style="196" customWidth="1"/>
    <col min="23" max="25" width="14.7109375" style="196" customWidth="1"/>
    <col min="26" max="26" width="16.85546875" style="197" customWidth="1"/>
    <col min="27" max="27" width="10.7109375" style="198" hidden="1" customWidth="1"/>
    <col min="28" max="28" width="51" style="199" customWidth="1"/>
    <col min="29" max="31" width="14.7109375" style="199" customWidth="1"/>
    <col min="32" max="32" width="16.5703125" style="197" customWidth="1"/>
    <col min="33" max="33" width="10.85546875" style="198" hidden="1" customWidth="1"/>
    <col min="34" max="34" width="23.140625" style="197" customWidth="1"/>
    <col min="35" max="35" width="19.140625" style="200" hidden="1" customWidth="1"/>
    <col min="36" max="36" width="23.5703125" style="169" customWidth="1"/>
    <col min="37" max="41" width="15.140625" style="170" customWidth="1"/>
    <col min="42" max="42" width="15.140625" style="171" customWidth="1"/>
    <col min="43" max="91" width="15.140625" style="170" customWidth="1"/>
    <col min="92" max="16384" width="10.7109375" style="170"/>
  </cols>
  <sheetData>
    <row r="1" spans="1:42" ht="94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4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4" customHeight="1">
      <c r="A3" s="272" t="str">
        <f>CONCATENATE("MATCH DE QUALIFICATION"," - ",INFO!B7," - ",INFO!B9)</f>
        <v>MATCH DE QUALIFICATION - PISTOLET -  SAVOIE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CT CHAMBERY</v>
      </c>
      <c r="C7" s="176">
        <f>VLOOKUP(A7,saisie!B$7:AL$26,3,0)</f>
        <v>2073010</v>
      </c>
      <c r="D7" s="177" t="str">
        <f>VLOOKUP(A7,saisie!B$7:AL$26,4,0)</f>
        <v>BOUFFARD Jacqueline</v>
      </c>
      <c r="E7" s="178">
        <f>VLOOKUP(A7,saisie!B$7:AL$26,5,0)</f>
        <v>90</v>
      </c>
      <c r="F7" s="178">
        <f>VLOOKUP(A7,saisie!B$7:AL$26,6,0)</f>
        <v>92</v>
      </c>
      <c r="G7" s="178">
        <f>VLOOKUP(A7,saisie!B$7:AL$26,7,0)</f>
        <v>91</v>
      </c>
      <c r="H7" s="179">
        <f>VLOOKUP(A7,saisie!B$7:AL$26,8,0)</f>
        <v>273</v>
      </c>
      <c r="I7" s="180">
        <f>VLOOKUP(A7,saisie!B$7:AL$26,9,0)</f>
        <v>0</v>
      </c>
      <c r="J7" s="177" t="str">
        <f>VLOOKUP(A7,saisie!B$7:AL$26,10,0)</f>
        <v>PETINGA Priscilla</v>
      </c>
      <c r="K7" s="178">
        <f>VLOOKUP(A7,saisie!B$7:AL$26,11,0)</f>
        <v>93</v>
      </c>
      <c r="L7" s="178">
        <f>VLOOKUP(A7,saisie!B$7:AL$26,12,0)</f>
        <v>95</v>
      </c>
      <c r="M7" s="178">
        <f>VLOOKUP(A7,saisie!B$7:AL$26,13,0)</f>
        <v>90</v>
      </c>
      <c r="N7" s="179">
        <f>VLOOKUP(A7,saisie!B$7:AL$26,14,0)</f>
        <v>278</v>
      </c>
      <c r="O7" s="180">
        <f>VLOOKUP(A7,saisie!B$7:AL$26,15,0)</f>
        <v>0</v>
      </c>
      <c r="P7" s="177" t="str">
        <f>VLOOKUP(A7,saisie!B$7:AL$26,16,0)</f>
        <v>GUPUIT Anne</v>
      </c>
      <c r="Q7" s="178">
        <f>VLOOKUP(A7,saisie!B$7:AL$26,17,0)</f>
        <v>91</v>
      </c>
      <c r="R7" s="178">
        <f>VLOOKUP(A7,saisie!B$7:AL$26,18,0)</f>
        <v>93</v>
      </c>
      <c r="S7" s="178">
        <f>VLOOKUP(A7,saisie!B$7:AL$26,19,0)</f>
        <v>93</v>
      </c>
      <c r="T7" s="179">
        <f>VLOOKUP(A7,saisie!B$7:AL$26,20,0)</f>
        <v>277</v>
      </c>
      <c r="U7" s="180">
        <f>VLOOKUP(A7,saisie!B$7:AL$26,21,0)</f>
        <v>0</v>
      </c>
      <c r="V7" s="177" t="str">
        <f>VLOOKUP(A7,saisie!B$7:AL$26,22,0)</f>
        <v>PERRET Jean-François</v>
      </c>
      <c r="W7" s="178">
        <f>VLOOKUP(A7,saisie!B$7:AL$26,23,0)</f>
        <v>92</v>
      </c>
      <c r="X7" s="178">
        <f>VLOOKUP(A7,saisie!B$7:AL$26,24,0)</f>
        <v>91</v>
      </c>
      <c r="Y7" s="178">
        <f>VLOOKUP(A7,saisie!B$7:AL$26,25,0)</f>
        <v>94</v>
      </c>
      <c r="Z7" s="179">
        <f>VLOOKUP(A7,saisie!B$7:AL$26,26,0)</f>
        <v>277</v>
      </c>
      <c r="AA7" s="180">
        <f>VLOOKUP(A7,saisie!B$7:AL$26,27,0)</f>
        <v>0</v>
      </c>
      <c r="AB7" s="177" t="str">
        <f>VLOOKUP(A7,saisie!B$7:AL$26,28,0)</f>
        <v>GIANSILY Philippe</v>
      </c>
      <c r="AC7" s="178">
        <f>VLOOKUP(A7,saisie!B$7:AL$26,29,0)</f>
        <v>89</v>
      </c>
      <c r="AD7" s="178">
        <f>VLOOKUP(A7,saisie!B$7:AL$26,30,0)</f>
        <v>90</v>
      </c>
      <c r="AE7" s="178">
        <f>VLOOKUP(A7,saisie!B$7:AL$26,31,0)</f>
        <v>96</v>
      </c>
      <c r="AF7" s="179">
        <f>VLOOKUP(A7,saisie!B$7:AL$26,32,0)</f>
        <v>275</v>
      </c>
      <c r="AG7" s="180">
        <f>VLOOKUP(A7,saisie!B$7:AL$26,33,0)</f>
        <v>0</v>
      </c>
      <c r="AH7" s="174">
        <f>VLOOKUP(A7,saisie!B$7:AL$26,34,0)</f>
        <v>1380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CT MODANE</v>
      </c>
      <c r="C8" s="176">
        <f>VLOOKUP(A8,saisie!B$7:AL$26,3,0)</f>
        <v>2073186</v>
      </c>
      <c r="D8" s="177" t="str">
        <f>VLOOKUP(A8,saisie!B$7:AL$26,4,0)</f>
        <v>BAUDRIN Jean</v>
      </c>
      <c r="E8" s="178">
        <f>VLOOKUP(A8,saisie!B$7:AL$26,5,0)</f>
        <v>80</v>
      </c>
      <c r="F8" s="178">
        <f>VLOOKUP(A8,saisie!B$7:AL$26,6,0)</f>
        <v>91</v>
      </c>
      <c r="G8" s="178">
        <f>VLOOKUP(A8,saisie!B$7:AL$26,7,0)</f>
        <v>90</v>
      </c>
      <c r="H8" s="179">
        <f>VLOOKUP(A8,saisie!B$7:AL$26,8,0)</f>
        <v>261</v>
      </c>
      <c r="I8" s="180">
        <f>VLOOKUP(A8,saisie!B$7:AL$26,9,0)</f>
        <v>0</v>
      </c>
      <c r="J8" s="177" t="str">
        <f>VLOOKUP(A8,saisie!B$7:AL$26,10,0)</f>
        <v>MARMORAT Catherine</v>
      </c>
      <c r="K8" s="178">
        <f>VLOOKUP(A8,saisie!B$7:AL$26,11,0)</f>
        <v>82</v>
      </c>
      <c r="L8" s="178">
        <f>VLOOKUP(A8,saisie!B$7:AL$26,12,0)</f>
        <v>83</v>
      </c>
      <c r="M8" s="178">
        <f>VLOOKUP(A8,saisie!B$7:AL$26,13,0)</f>
        <v>85</v>
      </c>
      <c r="N8" s="179">
        <f>VLOOKUP(A8,saisie!B$7:AL$26,14,0)</f>
        <v>250</v>
      </c>
      <c r="O8" s="180">
        <f>VLOOKUP(A8,saisie!B$7:AL$26,15,0)</f>
        <v>0</v>
      </c>
      <c r="P8" s="177" t="str">
        <f>VLOOKUP(A8,saisie!B$7:AL$26,16,0)</f>
        <v>KOVACS Julien</v>
      </c>
      <c r="Q8" s="178">
        <f>VLOOKUP(A8,saisie!B$7:AL$26,17,0)</f>
        <v>92</v>
      </c>
      <c r="R8" s="178">
        <f>VLOOKUP(A8,saisie!B$7:AL$26,18,0)</f>
        <v>91</v>
      </c>
      <c r="S8" s="178">
        <f>VLOOKUP(A8,saisie!B$7:AL$26,19,0)</f>
        <v>89</v>
      </c>
      <c r="T8" s="179">
        <f>VLOOKUP(A8,saisie!B$7:AL$26,20,0)</f>
        <v>272</v>
      </c>
      <c r="U8" s="180">
        <f>VLOOKUP(A8,saisie!B$7:AL$26,21,0)</f>
        <v>0</v>
      </c>
      <c r="V8" s="177" t="str">
        <f>VLOOKUP(A8,saisie!B$7:AL$26,22,0)</f>
        <v>YARD Jean</v>
      </c>
      <c r="W8" s="178">
        <f>VLOOKUP(A8,saisie!B$7:AL$26,23,0)</f>
        <v>85</v>
      </c>
      <c r="X8" s="178">
        <f>VLOOKUP(A8,saisie!B$7:AL$26,24,0)</f>
        <v>86</v>
      </c>
      <c r="Y8" s="178">
        <f>VLOOKUP(A8,saisie!B$7:AL$26,25,0)</f>
        <v>81</v>
      </c>
      <c r="Z8" s="179">
        <f>VLOOKUP(A8,saisie!B$7:AL$26,26,0)</f>
        <v>252</v>
      </c>
      <c r="AA8" s="180">
        <f>VLOOKUP(A8,saisie!B$7:AL$26,27,0)</f>
        <v>0</v>
      </c>
      <c r="AB8" s="177" t="str">
        <f>VLOOKUP(A8,saisie!B$7:AL$26,28,0)</f>
        <v>RIONDET lionel</v>
      </c>
      <c r="AC8" s="178">
        <f>VLOOKUP(A8,saisie!B$7:AL$26,29,0)</f>
        <v>76</v>
      </c>
      <c r="AD8" s="178">
        <f>VLOOKUP(A8,saisie!B$7:AL$26,30,0)</f>
        <v>87</v>
      </c>
      <c r="AE8" s="178">
        <f>VLOOKUP(A8,saisie!B$7:AL$26,31,0)</f>
        <v>79</v>
      </c>
      <c r="AF8" s="179">
        <f>VLOOKUP(A8,saisie!B$7:AL$26,32,0)</f>
        <v>242</v>
      </c>
      <c r="AG8" s="180">
        <f>VLOOKUP(A8,saisie!B$7:AL$26,33,0)</f>
        <v>0</v>
      </c>
      <c r="AH8" s="174">
        <f>VLOOKUP(A8,saisie!B$7:AL$26,34,0)</f>
        <v>1277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TOS</v>
      </c>
      <c r="C9" s="176">
        <f>VLOOKUP(A9,saisie!B$7:AL$26,3,0)</f>
        <v>2073190</v>
      </c>
      <c r="D9" s="177" t="str">
        <f>VLOOKUP(A9,saisie!B$7:AL$26,4,0)</f>
        <v>SOUFI Fayçal</v>
      </c>
      <c r="E9" s="178">
        <f>VLOOKUP(A9,saisie!B$7:AL$26,5,0)</f>
        <v>86</v>
      </c>
      <c r="F9" s="178">
        <f>VLOOKUP(A9,saisie!B$7:AL$26,6,0)</f>
        <v>85</v>
      </c>
      <c r="G9" s="178">
        <f>VLOOKUP(A9,saisie!B$7:AL$26,7,0)</f>
        <v>89</v>
      </c>
      <c r="H9" s="179">
        <f>VLOOKUP(A9,saisie!B$7:AL$26,8,0)</f>
        <v>260</v>
      </c>
      <c r="I9" s="180">
        <f>VLOOKUP(A9,saisie!B$7:AL$26,9,0)</f>
        <v>0</v>
      </c>
      <c r="J9" s="177" t="str">
        <f>VLOOKUP(A9,saisie!B$7:AL$26,10,0)</f>
        <v>HISLER Julien</v>
      </c>
      <c r="K9" s="178">
        <f>VLOOKUP(A9,saisie!B$7:AL$26,11,0)</f>
        <v>92</v>
      </c>
      <c r="L9" s="178">
        <f>VLOOKUP(A9,saisie!B$7:AL$26,12,0)</f>
        <v>92</v>
      </c>
      <c r="M9" s="178">
        <f>VLOOKUP(A9,saisie!B$7:AL$26,13,0)</f>
        <v>95</v>
      </c>
      <c r="N9" s="179">
        <f>VLOOKUP(A9,saisie!B$7:AL$26,14,0)</f>
        <v>279</v>
      </c>
      <c r="O9" s="180">
        <f>VLOOKUP(A9,saisie!B$7:AL$26,15,0)</f>
        <v>0</v>
      </c>
      <c r="P9" s="177" t="str">
        <f>VLOOKUP(A9,saisie!B$7:AL$26,16,0)</f>
        <v>DERESSE Françoise</v>
      </c>
      <c r="Q9" s="178">
        <f>VLOOKUP(A9,saisie!B$7:AL$26,17,0)</f>
        <v>86</v>
      </c>
      <c r="R9" s="178">
        <f>VLOOKUP(A9,saisie!B$7:AL$26,18,0)</f>
        <v>86</v>
      </c>
      <c r="S9" s="178">
        <f>VLOOKUP(A9,saisie!B$7:AL$26,19,0)</f>
        <v>94</v>
      </c>
      <c r="T9" s="179">
        <f>VLOOKUP(A9,saisie!B$7:AL$26,20,0)</f>
        <v>266</v>
      </c>
      <c r="U9" s="180">
        <f>VLOOKUP(A9,saisie!B$7:AL$26,21,0)</f>
        <v>0</v>
      </c>
      <c r="V9" s="177" t="str">
        <f>VLOOKUP(A9,saisie!B$7:AL$26,22,0)</f>
        <v>CHANEL Angélique</v>
      </c>
      <c r="W9" s="178">
        <f>VLOOKUP(A9,saisie!B$7:AL$26,23,0)</f>
        <v>76</v>
      </c>
      <c r="X9" s="178">
        <f>VLOOKUP(A9,saisie!B$7:AL$26,24,0)</f>
        <v>89</v>
      </c>
      <c r="Y9" s="178">
        <f>VLOOKUP(A9,saisie!B$7:AL$26,25,0)</f>
        <v>90</v>
      </c>
      <c r="Z9" s="179">
        <f>VLOOKUP(A9,saisie!B$7:AL$26,26,0)</f>
        <v>255</v>
      </c>
      <c r="AA9" s="180">
        <f>VLOOKUP(A9,saisie!B$7:AL$26,27,0)</f>
        <v>0</v>
      </c>
      <c r="AB9" s="177" t="str">
        <f>VLOOKUP(A9,saisie!B$7:AL$26,28,0)</f>
        <v>GAMBIER Clément</v>
      </c>
      <c r="AC9" s="178">
        <f>VLOOKUP(A9,saisie!B$7:AL$26,29,0)</f>
        <v>73</v>
      </c>
      <c r="AD9" s="178">
        <f>VLOOKUP(A9,saisie!B$7:AL$26,30,0)</f>
        <v>67</v>
      </c>
      <c r="AE9" s="178">
        <f>VLOOKUP(A9,saisie!B$7:AL$26,31,0)</f>
        <v>71</v>
      </c>
      <c r="AF9" s="179">
        <f>VLOOKUP(A9,saisie!B$7:AL$26,32,0)</f>
        <v>211</v>
      </c>
      <c r="AG9" s="180">
        <f>VLOOKUP(A9,saisie!B$7:AL$26,33,0)</f>
        <v>0</v>
      </c>
      <c r="AH9" s="174">
        <f>VLOOKUP(A9,saisie!B$7:AL$26,34,0)</f>
        <v>1271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FRATERNELLE AIX</v>
      </c>
      <c r="C10" s="176">
        <f>VLOOKUP(A10,saisie!B$7:AL$26,3,0)</f>
        <v>2073128</v>
      </c>
      <c r="D10" s="177" t="str">
        <f>VLOOKUP(A10,saisie!B$7:AL$26,4,0)</f>
        <v>BERNARD Louis</v>
      </c>
      <c r="E10" s="178">
        <f>VLOOKUP(A10,saisie!B$7:AL$26,5,0)</f>
        <v>79</v>
      </c>
      <c r="F10" s="178">
        <f>VLOOKUP(A10,saisie!B$7:AL$26,6,0)</f>
        <v>85</v>
      </c>
      <c r="G10" s="178">
        <f>VLOOKUP(A10,saisie!B$7:AL$26,7,0)</f>
        <v>77</v>
      </c>
      <c r="H10" s="179">
        <f>VLOOKUP(A10,saisie!B$7:AL$26,8,0)</f>
        <v>241</v>
      </c>
      <c r="I10" s="180">
        <f>VLOOKUP(A10,saisie!B$7:AL$26,9,0)</f>
        <v>0</v>
      </c>
      <c r="J10" s="177" t="str">
        <f>VLOOKUP(A10,saisie!B$7:AL$26,10,0)</f>
        <v>GARDARIN Frédérique</v>
      </c>
      <c r="K10" s="178">
        <f>VLOOKUP(A10,saisie!B$7:AL$26,11,0)</f>
        <v>83</v>
      </c>
      <c r="L10" s="178">
        <f>VLOOKUP(A10,saisie!B$7:AL$26,12,0)</f>
        <v>71</v>
      </c>
      <c r="M10" s="178">
        <f>VLOOKUP(A10,saisie!B$7:AL$26,13,0)</f>
        <v>73</v>
      </c>
      <c r="N10" s="179">
        <f>VLOOKUP(A10,saisie!B$7:AL$26,14,0)</f>
        <v>227</v>
      </c>
      <c r="O10" s="180">
        <f>VLOOKUP(A10,saisie!B$7:AL$26,15,0)</f>
        <v>0</v>
      </c>
      <c r="P10" s="177" t="str">
        <f>VLOOKUP(A10,saisie!B$7:AL$26,16,0)</f>
        <v>CHAPELOT Denise</v>
      </c>
      <c r="Q10" s="178">
        <f>VLOOKUP(A10,saisie!B$7:AL$26,17,0)</f>
        <v>90</v>
      </c>
      <c r="R10" s="178">
        <f>VLOOKUP(A10,saisie!B$7:AL$26,18,0)</f>
        <v>88</v>
      </c>
      <c r="S10" s="178">
        <f>VLOOKUP(A10,saisie!B$7:AL$26,19,0)</f>
        <v>95</v>
      </c>
      <c r="T10" s="179">
        <f>VLOOKUP(A10,saisie!B$7:AL$26,20,0)</f>
        <v>273</v>
      </c>
      <c r="U10" s="180">
        <f>VLOOKUP(A10,saisie!B$7:AL$26,21,0)</f>
        <v>0</v>
      </c>
      <c r="V10" s="177" t="str">
        <f>VLOOKUP(A10,saisie!B$7:AL$26,22,0)</f>
        <v>FANCINELLI Sébastien</v>
      </c>
      <c r="W10" s="178">
        <f>VLOOKUP(A10,saisie!B$7:AL$26,23,0)</f>
        <v>90</v>
      </c>
      <c r="X10" s="178">
        <f>VLOOKUP(A10,saisie!B$7:AL$26,24,0)</f>
        <v>89</v>
      </c>
      <c r="Y10" s="178">
        <f>VLOOKUP(A10,saisie!B$7:AL$26,25,0)</f>
        <v>91</v>
      </c>
      <c r="Z10" s="179">
        <f>VLOOKUP(A10,saisie!B$7:AL$26,26,0)</f>
        <v>270</v>
      </c>
      <c r="AA10" s="180">
        <f>VLOOKUP(A10,saisie!B$7:AL$26,27,0)</f>
        <v>0</v>
      </c>
      <c r="AB10" s="177" t="str">
        <f>VLOOKUP(A10,saisie!B$7:AL$26,28,0)</f>
        <v>CROZE Jean-Philippe</v>
      </c>
      <c r="AC10" s="178">
        <f>VLOOKUP(A10,saisie!B$7:AL$26,29,0)</f>
        <v>84</v>
      </c>
      <c r="AD10" s="178">
        <f>VLOOKUP(A10,saisie!B$7:AL$26,30,0)</f>
        <v>81</v>
      </c>
      <c r="AE10" s="178">
        <f>VLOOKUP(A10,saisie!B$7:AL$26,31,0)</f>
        <v>87</v>
      </c>
      <c r="AF10" s="179">
        <f>VLOOKUP(A10,saisie!B$7:AL$26,32,0)</f>
        <v>252</v>
      </c>
      <c r="AG10" s="180">
        <f>VLOOKUP(A10,saisie!B$7:AL$26,33,0)</f>
        <v>0</v>
      </c>
      <c r="AH10" s="174">
        <f>VLOOKUP(A10,saisie!B$7:AL$26,34,0)</f>
        <v>1263</v>
      </c>
      <c r="AI10" s="181">
        <f>VLOOKUP(A10,saisie!B$7:AL$26,35,0)</f>
        <v>0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9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9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9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9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9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9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9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9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9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9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9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9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9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9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9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9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9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9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9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9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5546875" defaultRowHeight="15" x14ac:dyDescent="0"/>
  <cols>
    <col min="1" max="1" width="15.28515625" style="1" bestFit="1" customWidth="1"/>
    <col min="2" max="2" width="25.7109375" style="1" customWidth="1"/>
    <col min="3" max="5" width="8.7109375" style="1" customWidth="1"/>
    <col min="6" max="6" width="8.5703125" style="1" bestFit="1" customWidth="1"/>
    <col min="7" max="7" width="8.5703125" style="1" customWidth="1"/>
    <col min="8" max="8" width="3.7109375" style="1" customWidth="1"/>
    <col min="9" max="9" width="15.28515625" style="1" bestFit="1" customWidth="1"/>
    <col min="10" max="10" width="25.7109375" style="1" customWidth="1"/>
    <col min="11" max="13" width="8.7109375" style="1" customWidth="1"/>
    <col min="14" max="14" width="8.5703125" style="1" customWidth="1"/>
    <col min="15" max="15" width="5.7109375" style="1" customWidth="1"/>
    <col min="16" max="16384" width="6.85546875" style="1"/>
  </cols>
  <sheetData>
    <row r="1" spans="1:15" ht="22" customHeight="1">
      <c r="A1" s="67"/>
      <c r="B1" s="68" t="s">
        <v>14</v>
      </c>
      <c r="C1" s="67" t="str">
        <f>'M Q'!B7</f>
        <v>CT CHAMBERY</v>
      </c>
      <c r="D1" s="67"/>
      <c r="E1" s="67"/>
      <c r="F1" s="67">
        <f>'M Q'!AH7</f>
        <v>1380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2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2" customHeight="1">
      <c r="A3" s="70">
        <f>F3+0.0001*G3+0.0000001*E3+0.0000000001*D3</f>
        <v>273.00000910919999</v>
      </c>
      <c r="B3" s="68" t="str">
        <f>'M Q'!D7</f>
        <v>BOUFFARD Jacqueline</v>
      </c>
      <c r="C3" s="67">
        <f>'M Q'!E7</f>
        <v>90</v>
      </c>
      <c r="D3" s="67">
        <f>'M Q'!F7</f>
        <v>92</v>
      </c>
      <c r="E3" s="67">
        <f>'M Q'!G7</f>
        <v>91</v>
      </c>
      <c r="F3" s="67">
        <f>'M Q'!H7</f>
        <v>273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2" customHeight="1">
      <c r="A4" s="70">
        <f>F4+0.0001*G4+0.0000001*E4+0.0000000001*D4</f>
        <v>278.00000900949999</v>
      </c>
      <c r="B4" s="68" t="str">
        <f>'M Q'!J7</f>
        <v>PETINGA Priscilla</v>
      </c>
      <c r="C4" s="67">
        <f>'M Q'!K7</f>
        <v>93</v>
      </c>
      <c r="D4" s="67">
        <f>'M Q'!L7</f>
        <v>95</v>
      </c>
      <c r="E4" s="67">
        <f>'M Q'!M7</f>
        <v>90</v>
      </c>
      <c r="F4" s="67">
        <f>'M Q'!N7</f>
        <v>278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2" customHeight="1">
      <c r="A5" s="70">
        <f>F5+0.0001*G5+0.0000001*E5+0.0000000001*D5</f>
        <v>277.00000930929997</v>
      </c>
      <c r="B5" s="68" t="str">
        <f>'M Q'!P7</f>
        <v>GUPUIT Anne</v>
      </c>
      <c r="C5" s="67">
        <f>'M Q'!Q7</f>
        <v>91</v>
      </c>
      <c r="D5" s="67">
        <f>'M Q'!R7</f>
        <v>93</v>
      </c>
      <c r="E5" s="67">
        <f>'M Q'!S7</f>
        <v>93</v>
      </c>
      <c r="F5" s="67">
        <f>'M Q'!T7</f>
        <v>277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2" customHeight="1">
      <c r="A6" s="70">
        <f>F6+0.0001*G6+0.0000001*E6+0.0000000001*D6</f>
        <v>277.00000940910002</v>
      </c>
      <c r="B6" s="68" t="str">
        <f>'M Q'!V7</f>
        <v>PERRET Jean-François</v>
      </c>
      <c r="C6" s="67">
        <f>'M Q'!W7</f>
        <v>92</v>
      </c>
      <c r="D6" s="67">
        <f>'M Q'!X7</f>
        <v>91</v>
      </c>
      <c r="E6" s="67">
        <f>'M Q'!Y7</f>
        <v>94</v>
      </c>
      <c r="F6" s="67">
        <f>'M Q'!Z7</f>
        <v>277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2" customHeight="1">
      <c r="A7" s="70">
        <f>F7+0.0001*G7+0.0000001*E7+0.0000000001*D7</f>
        <v>275.00000960900002</v>
      </c>
      <c r="B7" s="68" t="str">
        <f>'M Q'!AB7</f>
        <v>GIANSILY Philippe</v>
      </c>
      <c r="C7" s="67">
        <f>'M Q'!AC7</f>
        <v>89</v>
      </c>
      <c r="D7" s="67">
        <f>'M Q'!AD7</f>
        <v>90</v>
      </c>
      <c r="E7" s="67">
        <f>'M Q'!AE7</f>
        <v>96</v>
      </c>
      <c r="F7" s="67">
        <f>'M Q'!AF7</f>
        <v>275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2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2" customHeight="1">
      <c r="A9" s="67"/>
      <c r="B9" s="68" t="s">
        <v>37</v>
      </c>
      <c r="C9" s="68" t="str">
        <f>'M Q'!B8</f>
        <v>CT MODANE</v>
      </c>
      <c r="D9" s="68"/>
      <c r="E9" s="68"/>
      <c r="F9" s="67">
        <f>'M Q'!AH8</f>
        <v>1277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2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2" customHeight="1">
      <c r="A11" s="70">
        <f>F11+0.0001*G11+0.0000001*E11+0.0000000001*D11</f>
        <v>261.00000900909998</v>
      </c>
      <c r="B11" s="68" t="str">
        <f>'M Q'!D8</f>
        <v>BAUDRIN Jean</v>
      </c>
      <c r="C11" s="67">
        <f>'M Q'!E8</f>
        <v>80</v>
      </c>
      <c r="D11" s="67">
        <f>'M Q'!F8</f>
        <v>91</v>
      </c>
      <c r="E11" s="67">
        <f>'M Q'!G8</f>
        <v>90</v>
      </c>
      <c r="F11" s="67">
        <f>'M Q'!H8</f>
        <v>261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2" customHeight="1">
      <c r="A12" s="70">
        <f>F12+0.0001*G12+0.0000001*E12+0.0000000001*D12</f>
        <v>250.0000085083</v>
      </c>
      <c r="B12" s="68" t="str">
        <f>'M Q'!J8</f>
        <v>MARMORAT Catherine</v>
      </c>
      <c r="C12" s="67">
        <f>'M Q'!K8</f>
        <v>82</v>
      </c>
      <c r="D12" s="67">
        <f>'M Q'!L8</f>
        <v>83</v>
      </c>
      <c r="E12" s="67">
        <f>'M Q'!M8</f>
        <v>85</v>
      </c>
      <c r="F12" s="67">
        <f>'M Q'!N8</f>
        <v>250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2" customHeight="1">
      <c r="A13" s="70">
        <f>F13+0.0001*G13+0.0000001*E13+0.0000000001*D13</f>
        <v>272.00000890910002</v>
      </c>
      <c r="B13" s="68" t="str">
        <f>'M Q'!P8</f>
        <v>KOVACS Julien</v>
      </c>
      <c r="C13" s="67">
        <f>'M Q'!Q8</f>
        <v>92</v>
      </c>
      <c r="D13" s="67">
        <f>'M Q'!R8</f>
        <v>91</v>
      </c>
      <c r="E13" s="67">
        <f>'M Q'!S8</f>
        <v>89</v>
      </c>
      <c r="F13" s="67">
        <f>'M Q'!T8</f>
        <v>272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2" customHeight="1">
      <c r="A14" s="70">
        <f>F14+0.0001*G14+0.0000001*E14+0.0000000001*D14</f>
        <v>252.00000810860001</v>
      </c>
      <c r="B14" s="68" t="str">
        <f>'M Q'!V8</f>
        <v>YARD Jean</v>
      </c>
      <c r="C14" s="67">
        <f>'M Q'!W8</f>
        <v>85</v>
      </c>
      <c r="D14" s="67">
        <f>'M Q'!X8</f>
        <v>86</v>
      </c>
      <c r="E14" s="67">
        <f>'M Q'!Y8</f>
        <v>81</v>
      </c>
      <c r="F14" s="67">
        <f>'M Q'!Z8</f>
        <v>252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2" customHeight="1">
      <c r="A15" s="70">
        <f>F15+0.0001*G15+0.0000001*E15+0.0000000001*D15</f>
        <v>242.00000790870001</v>
      </c>
      <c r="B15" s="68" t="str">
        <f>'M Q'!AB8</f>
        <v>RIONDET lionel</v>
      </c>
      <c r="C15" s="67">
        <f>'M Q'!AC8</f>
        <v>76</v>
      </c>
      <c r="D15" s="67">
        <f>'M Q'!AD8</f>
        <v>87</v>
      </c>
      <c r="E15" s="67">
        <f>'M Q'!AE8</f>
        <v>79</v>
      </c>
      <c r="F15" s="67">
        <f>'M Q'!AF8</f>
        <v>242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2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2" customHeight="1">
      <c r="A17" s="67"/>
      <c r="B17" s="68" t="str">
        <f>IF(INFO!B8&gt;2,"CLUB N°3","")</f>
        <v>CLUB N°3</v>
      </c>
      <c r="C17" s="68" t="str">
        <f>'M Q'!B9</f>
        <v>TOS</v>
      </c>
      <c r="D17" s="68"/>
      <c r="E17" s="68"/>
      <c r="F17" s="67">
        <f>'M Q'!AH9</f>
        <v>1271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2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2" customHeight="1">
      <c r="A19" s="71">
        <f>F19+0.0001*G19+0.0000001*E19+0.0000000001*D19</f>
        <v>260.00000890850004</v>
      </c>
      <c r="B19" s="68" t="str">
        <f>'M Q'!D9</f>
        <v>SOUFI Fayçal</v>
      </c>
      <c r="C19" s="67">
        <f>'M Q'!E9</f>
        <v>86</v>
      </c>
      <c r="D19" s="67">
        <f>'M Q'!F9</f>
        <v>85</v>
      </c>
      <c r="E19" s="67">
        <f>'M Q'!G9</f>
        <v>89</v>
      </c>
      <c r="F19" s="67">
        <f>'M Q'!H9</f>
        <v>260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2" customHeight="1">
      <c r="A20" s="71">
        <f>F20+0.0001*G20+0.0000001*E20+0.0000000001*D20</f>
        <v>279.00000950919997</v>
      </c>
      <c r="B20" s="68" t="str">
        <f>'M Q'!J9</f>
        <v>HISLER Julien</v>
      </c>
      <c r="C20" s="67">
        <f>'M Q'!K9</f>
        <v>92</v>
      </c>
      <c r="D20" s="67">
        <f>'M Q'!L9</f>
        <v>92</v>
      </c>
      <c r="E20" s="67">
        <f>'M Q'!M9</f>
        <v>95</v>
      </c>
      <c r="F20" s="67">
        <f>'M Q'!N9</f>
        <v>279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2" customHeight="1">
      <c r="A21" s="71">
        <f>F21+0.0001*G21+0.0000001*E21+0.0000000001*D21</f>
        <v>266.00000940860002</v>
      </c>
      <c r="B21" s="68" t="str">
        <f>'M Q'!P9</f>
        <v>DERESSE Françoise</v>
      </c>
      <c r="C21" s="67">
        <f>'M Q'!Q9</f>
        <v>86</v>
      </c>
      <c r="D21" s="67">
        <f>'M Q'!R9</f>
        <v>86</v>
      </c>
      <c r="E21" s="67">
        <f>'M Q'!S9</f>
        <v>94</v>
      </c>
      <c r="F21" s="67">
        <f>'M Q'!T9</f>
        <v>266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2" customHeight="1">
      <c r="A22" s="71">
        <f>F22+0.0001*G22+0.0000001*E22+0.0000000001*D22</f>
        <v>255.00000900890001</v>
      </c>
      <c r="B22" s="68" t="str">
        <f>'M Q'!V9</f>
        <v>CHANEL Angélique</v>
      </c>
      <c r="C22" s="67">
        <f>'M Q'!W9</f>
        <v>76</v>
      </c>
      <c r="D22" s="67">
        <f>'M Q'!X9</f>
        <v>89</v>
      </c>
      <c r="E22" s="67">
        <f>'M Q'!Y9</f>
        <v>90</v>
      </c>
      <c r="F22" s="67">
        <f>'M Q'!Z9</f>
        <v>255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2" customHeight="1">
      <c r="A23" s="71">
        <f>F23+0.0001*G23+0.0000001*E23+0.0000000001*D23</f>
        <v>211.0000071067</v>
      </c>
      <c r="B23" s="68" t="str">
        <f>'M Q'!AB9</f>
        <v>GAMBIER Clément</v>
      </c>
      <c r="C23" s="67">
        <f>'M Q'!AC9</f>
        <v>73</v>
      </c>
      <c r="D23" s="67">
        <f>'M Q'!AD9</f>
        <v>67</v>
      </c>
      <c r="E23" s="67">
        <f>'M Q'!AE9</f>
        <v>71</v>
      </c>
      <c r="F23" s="67">
        <f>'M Q'!AF9</f>
        <v>211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2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2" customHeight="1">
      <c r="A25" s="67"/>
      <c r="B25" s="68" t="str">
        <f>IF(INFO!B8&gt;3,"CLUB N°4","")</f>
        <v>CLUB N°4</v>
      </c>
      <c r="C25" s="68" t="str">
        <f>'M Q'!B10</f>
        <v>FRATERNELLE AIX</v>
      </c>
      <c r="D25" s="68"/>
      <c r="E25" s="68"/>
      <c r="F25" s="67">
        <f>'M Q'!AH10</f>
        <v>1263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2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2" customHeight="1">
      <c r="A27" s="70">
        <f>F27+0.0001*G27+0.0000001*E27+0.0000000001*D27</f>
        <v>241.00000770849999</v>
      </c>
      <c r="B27" s="68" t="str">
        <f>'M Q'!D10</f>
        <v>BERNARD Louis</v>
      </c>
      <c r="C27" s="67">
        <f>'M Q'!E10</f>
        <v>79</v>
      </c>
      <c r="D27" s="67">
        <f>'M Q'!F10</f>
        <v>85</v>
      </c>
      <c r="E27" s="67">
        <f>'M Q'!G10</f>
        <v>77</v>
      </c>
      <c r="F27" s="67">
        <f>'M Q'!H10</f>
        <v>241</v>
      </c>
      <c r="G27" s="67">
        <f>'M Q'!I10</f>
        <v>0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2" customHeight="1">
      <c r="A28" s="70">
        <f>F28+0.0001*G28+0.0000001*E28+0.0000000001*D28</f>
        <v>227.00000730709999</v>
      </c>
      <c r="B28" s="68" t="str">
        <f>'M Q'!J10</f>
        <v>GARDARIN Frédérique</v>
      </c>
      <c r="C28" s="67">
        <f>'M Q'!K10</f>
        <v>83</v>
      </c>
      <c r="D28" s="67">
        <f>'M Q'!L10</f>
        <v>71</v>
      </c>
      <c r="E28" s="67">
        <f>'M Q'!M10</f>
        <v>73</v>
      </c>
      <c r="F28" s="67">
        <f>'M Q'!N10</f>
        <v>227</v>
      </c>
      <c r="G28" s="67">
        <f>'M Q'!O10</f>
        <v>0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2" customHeight="1">
      <c r="A29" s="70">
        <f>F29+0.0001*G29+0.0000001*E29+0.0000000001*D29</f>
        <v>273.00000950879996</v>
      </c>
      <c r="B29" s="68" t="str">
        <f>'M Q'!P10</f>
        <v>CHAPELOT Denise</v>
      </c>
      <c r="C29" s="67">
        <f>'M Q'!Q10</f>
        <v>90</v>
      </c>
      <c r="D29" s="67">
        <f>'M Q'!R10</f>
        <v>88</v>
      </c>
      <c r="E29" s="67">
        <f>'M Q'!S10</f>
        <v>95</v>
      </c>
      <c r="F29" s="67">
        <f>'M Q'!T10</f>
        <v>273</v>
      </c>
      <c r="G29" s="67">
        <f>'M Q'!U10</f>
        <v>0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2" customHeight="1">
      <c r="A30" s="70">
        <f>F30+0.0001*G30+0.0000001*E30+0.0000000001*D30</f>
        <v>270.00000910889997</v>
      </c>
      <c r="B30" s="68" t="str">
        <f>'M Q'!V10</f>
        <v>FANCINELLI Sébastien</v>
      </c>
      <c r="C30" s="67">
        <f>'M Q'!W10</f>
        <v>90</v>
      </c>
      <c r="D30" s="67">
        <f>'M Q'!X10</f>
        <v>89</v>
      </c>
      <c r="E30" s="67">
        <f>'M Q'!Y10</f>
        <v>91</v>
      </c>
      <c r="F30" s="67">
        <f>'M Q'!Z10</f>
        <v>270</v>
      </c>
      <c r="G30" s="67">
        <f>'M Q'!AA10</f>
        <v>0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2" customHeight="1">
      <c r="A31" s="70">
        <f>F31+0.0001*G31+0.0000001*E31+0.0000000001*D31</f>
        <v>252.00000870809998</v>
      </c>
      <c r="B31" s="68" t="str">
        <f>'M Q'!AB10</f>
        <v>CROZE Jean-Philippe</v>
      </c>
      <c r="C31" s="67">
        <f>'M Q'!AC10</f>
        <v>84</v>
      </c>
      <c r="D31" s="67">
        <f>'M Q'!AD10</f>
        <v>81</v>
      </c>
      <c r="E31" s="67">
        <f>'M Q'!AE10</f>
        <v>87</v>
      </c>
      <c r="F31" s="67">
        <f>'M Q'!AF10</f>
        <v>252</v>
      </c>
      <c r="G31" s="67">
        <f>'M Q'!AG10</f>
        <v>0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pageSetUpPr fitToPage="1"/>
  </sheetPr>
  <dimension ref="A1:N32"/>
  <sheetViews>
    <sheetView showGridLines="0" topLeftCell="A11" zoomScale="80" zoomScaleNormal="80" zoomScaleSheetLayoutView="100" zoomScalePageLayoutView="80" workbookViewId="0">
      <selection activeCell="P24" sqref="P24"/>
    </sheetView>
  </sheetViews>
  <sheetFormatPr baseColWidth="10" defaultColWidth="6.85546875" defaultRowHeight="15" x14ac:dyDescent="0"/>
  <cols>
    <col min="1" max="1" width="15.28515625" style="202" customWidth="1"/>
    <col min="2" max="2" width="25.7109375" style="202" customWidth="1"/>
    <col min="3" max="5" width="10.85546875" style="202" customWidth="1"/>
    <col min="6" max="6" width="8.42578125" style="202" customWidth="1"/>
    <col min="7" max="7" width="3.7109375" style="202" customWidth="1"/>
    <col min="8" max="8" width="25.7109375" style="202" customWidth="1"/>
    <col min="9" max="11" width="10.7109375" style="202" customWidth="1"/>
    <col min="12" max="12" width="8.42578125" style="202" customWidth="1"/>
    <col min="13" max="13" width="5.7109375" style="202" customWidth="1"/>
    <col min="14" max="16384" width="6.85546875" style="202"/>
  </cols>
  <sheetData>
    <row r="1" spans="1:14" ht="50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2" customHeight="1" thickBot="1">
      <c r="A2" s="203"/>
      <c r="B2" s="204" t="s">
        <v>14</v>
      </c>
      <c r="C2" s="289" t="str">
        <f>'Clb Q (2)'!C1</f>
        <v>CT CHAMBERY</v>
      </c>
      <c r="D2" s="290"/>
      <c r="E2" s="290"/>
      <c r="F2" s="205">
        <f>'Clb Q (2)'!F1</f>
        <v>1380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2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2" customHeight="1">
      <c r="A4" s="207"/>
      <c r="B4" s="211" t="str">
        <f>VLOOKUP(F4,'Clb Q (2)'!A$3:G$7,2,0)</f>
        <v>PETINGA Priscilla</v>
      </c>
      <c r="C4" s="212">
        <f>VLOOKUP(F4,'Clb Q (2)'!A$3:G$7,3,0)</f>
        <v>93</v>
      </c>
      <c r="D4" s="213">
        <f>VLOOKUP(F4,'Clb Q (2)'!A$3:G$7,4,0)</f>
        <v>95</v>
      </c>
      <c r="E4" s="214">
        <f>VLOOKUP(F4,'Clb Q (2)'!A$3:G$7,5,0)</f>
        <v>90</v>
      </c>
      <c r="F4" s="211">
        <f>LARGE('Clb Q (2)'!A$3:A$7,1)</f>
        <v>278.00000900949999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2" customHeight="1">
      <c r="A5" s="207"/>
      <c r="B5" s="211" t="str">
        <f>VLOOKUP(F5,'Clb Q (2)'!A$3:G$7,2,0)</f>
        <v>PERRET Jean-François</v>
      </c>
      <c r="C5" s="212">
        <f>VLOOKUP(F5,'Clb Q (2)'!A$3:G$7,3,0)</f>
        <v>92</v>
      </c>
      <c r="D5" s="213">
        <f>VLOOKUP(F5,'Clb Q (2)'!A$3:G$7,4,0)</f>
        <v>91</v>
      </c>
      <c r="E5" s="214">
        <f>VLOOKUP(F5,'Clb Q (2)'!A$3:G$7,5,0)</f>
        <v>94</v>
      </c>
      <c r="F5" s="211">
        <f>LARGE('Clb Q (2)'!A$3:A$7,2)</f>
        <v>277.00000940910002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2" customHeight="1">
      <c r="A6" s="207"/>
      <c r="B6" s="211" t="str">
        <f>VLOOKUP(F6,'Clb Q (2)'!A$3:G$7,2,0)</f>
        <v>GUPUIT Anne</v>
      </c>
      <c r="C6" s="212">
        <f>VLOOKUP(F6,'Clb Q (2)'!A$3:G$7,3,0)</f>
        <v>91</v>
      </c>
      <c r="D6" s="213">
        <f>VLOOKUP(F6,'Clb Q (2)'!A$3:G$7,4,0)</f>
        <v>93</v>
      </c>
      <c r="E6" s="214">
        <f>VLOOKUP(F6,'Clb Q (2)'!A$3:G$7,5,0)</f>
        <v>93</v>
      </c>
      <c r="F6" s="211">
        <f>LARGE('Clb Q (2)'!A$3:A$7,3)</f>
        <v>277.00000930929997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2" customHeight="1">
      <c r="A7" s="207"/>
      <c r="B7" s="211" t="str">
        <f>VLOOKUP(F7,'Clb Q (2)'!A$3:G$7,2,0)</f>
        <v>GIANSILY Philippe</v>
      </c>
      <c r="C7" s="212">
        <f>VLOOKUP(F7,'Clb Q (2)'!A$3:G$7,3,0)</f>
        <v>89</v>
      </c>
      <c r="D7" s="213">
        <f>VLOOKUP(F7,'Clb Q (2)'!A$3:G$7,4,0)</f>
        <v>90</v>
      </c>
      <c r="E7" s="214">
        <f>VLOOKUP(F7,'Clb Q (2)'!A$3:G$7,5,0)</f>
        <v>96</v>
      </c>
      <c r="F7" s="211">
        <f>LARGE('Clb Q (2)'!A$3:A$7,4)</f>
        <v>275.00000960900002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2" customHeight="1" thickBot="1">
      <c r="A8" s="207"/>
      <c r="B8" s="215" t="str">
        <f>VLOOKUP(F8,'Clb Q (2)'!A$3:G$7,2,0)</f>
        <v>BOUFFARD Jacqueline</v>
      </c>
      <c r="C8" s="216">
        <f>VLOOKUP(F8,'Clb Q (2)'!A$3:G$7,3,0)</f>
        <v>90</v>
      </c>
      <c r="D8" s="217">
        <f>VLOOKUP(F8,'Clb Q (2)'!A$3:G$7,4,0)</f>
        <v>92</v>
      </c>
      <c r="E8" s="218">
        <f>VLOOKUP(F8,'Clb Q (2)'!A$3:G$7,5,0)</f>
        <v>91</v>
      </c>
      <c r="F8" s="215">
        <f>LARGE('Clb Q (2)'!A$3:A$7,5)</f>
        <v>273.00000910919999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2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2" customHeight="1" thickBot="1">
      <c r="A10" s="219"/>
      <c r="B10" s="206" t="s">
        <v>37</v>
      </c>
      <c r="C10" s="289" t="str">
        <f>'Clb Q (2)'!C9</f>
        <v>CT MODANE</v>
      </c>
      <c r="D10" s="290"/>
      <c r="E10" s="290"/>
      <c r="F10" s="205">
        <f>'Clb Q (2)'!F9</f>
        <v>1277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2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2" customHeight="1">
      <c r="A12" s="207"/>
      <c r="B12" s="221" t="str">
        <f>VLOOKUP(F12,'Clb Q (2)'!A$11:G$15,2,0)</f>
        <v>KOVACS Julien</v>
      </c>
      <c r="C12" s="212">
        <f>VLOOKUP(F12,'Clb Q (2)'!A$11:G$15,3,0)</f>
        <v>92</v>
      </c>
      <c r="D12" s="213">
        <f>VLOOKUP(F12,'Clb Q (2)'!A$11:G$15,4,0)</f>
        <v>91</v>
      </c>
      <c r="E12" s="214">
        <f>VLOOKUP(F12,'Clb Q (2)'!A$11:G$15,5,0)</f>
        <v>89</v>
      </c>
      <c r="F12" s="211">
        <f>LARGE('Clb Q (2)'!A$11:A$15,1)</f>
        <v>272.00000890910002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2" customHeight="1">
      <c r="A13" s="207"/>
      <c r="B13" s="211" t="str">
        <f>VLOOKUP(F13,'Clb Q (2)'!A$11:G$15,2,0)</f>
        <v>BAUDRIN Jean</v>
      </c>
      <c r="C13" s="212">
        <f>VLOOKUP(F13,'Clb Q (2)'!A$11:G$15,3,0)</f>
        <v>80</v>
      </c>
      <c r="D13" s="213">
        <f>VLOOKUP(F13,'Clb Q (2)'!A$11:G$15,4,0)</f>
        <v>91</v>
      </c>
      <c r="E13" s="214">
        <f>VLOOKUP(F13,'Clb Q (2)'!A$11:G$15,5,0)</f>
        <v>90</v>
      </c>
      <c r="F13" s="211">
        <f>LARGE('Clb Q (2)'!A$11:A$15,2)</f>
        <v>261.00000900909998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2" customHeight="1">
      <c r="A14" s="207"/>
      <c r="B14" s="211" t="str">
        <f>VLOOKUP(F14,'Clb Q (2)'!A$11:G$15,2,0)</f>
        <v>YARD Jean</v>
      </c>
      <c r="C14" s="212">
        <f>VLOOKUP(F14,'Clb Q (2)'!A$11:G$15,3,0)</f>
        <v>85</v>
      </c>
      <c r="D14" s="213">
        <f>VLOOKUP(F14,'Clb Q (2)'!A$11:G$15,4,0)</f>
        <v>86</v>
      </c>
      <c r="E14" s="214">
        <f>VLOOKUP(F14,'Clb Q (2)'!A$11:G$15,5,0)</f>
        <v>81</v>
      </c>
      <c r="F14" s="211">
        <f>LARGE('Clb Q (2)'!A$11:A$15,3)</f>
        <v>252.00000810860001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2" customHeight="1">
      <c r="A15" s="207"/>
      <c r="B15" s="211" t="str">
        <f>VLOOKUP(F15,'Clb Q (2)'!A$11:G$15,2,0)</f>
        <v>MARMORAT Catherine</v>
      </c>
      <c r="C15" s="212">
        <f>VLOOKUP(F15,'Clb Q (2)'!A$11:G$15,3,0)</f>
        <v>82</v>
      </c>
      <c r="D15" s="213">
        <f>VLOOKUP(F15,'Clb Q (2)'!A$11:G$15,4,0)</f>
        <v>83</v>
      </c>
      <c r="E15" s="214">
        <f>VLOOKUP(F15,'Clb Q (2)'!A$11:G$15,5,0)</f>
        <v>85</v>
      </c>
      <c r="F15" s="211">
        <f>LARGE('Clb Q (2)'!A$11:A$15,4)</f>
        <v>250.0000085083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2" customHeight="1" thickBot="1">
      <c r="A16" s="207"/>
      <c r="B16" s="215" t="str">
        <f>VLOOKUP(F16,'Clb Q (2)'!A$11:G$15,2,0)</f>
        <v>RIONDET lionel</v>
      </c>
      <c r="C16" s="216">
        <f>VLOOKUP(F16,'Clb Q (2)'!A$11:G$15,3,0)</f>
        <v>76</v>
      </c>
      <c r="D16" s="217">
        <f>VLOOKUP(F16,'Clb Q (2)'!A$11:G$15,4,0)</f>
        <v>87</v>
      </c>
      <c r="E16" s="218">
        <f>VLOOKUP(F16,'Clb Q (2)'!A$11:G$15,5,0)</f>
        <v>79</v>
      </c>
      <c r="F16" s="215">
        <f>LARGE('Clb Q (2)'!A$11:A$15,5)</f>
        <v>242.00000790870001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2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2" customHeight="1" thickBot="1">
      <c r="A18" s="219"/>
      <c r="B18" s="206" t="str">
        <f>IF(INFO!B8&gt;2,"CLUB N°3","")</f>
        <v>CLUB N°3</v>
      </c>
      <c r="C18" s="289" t="str">
        <f>IF(INFO!B8&gt;2,'Clb Q (2)'!C17,"")</f>
        <v>TOS</v>
      </c>
      <c r="D18" s="290"/>
      <c r="E18" s="290"/>
      <c r="F18" s="205">
        <f>IF(INFO!B8&gt;2,'Clb Q (2)'!F17,"")</f>
        <v>1271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2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2" customHeight="1">
      <c r="A20" s="207"/>
      <c r="B20" s="211" t="str">
        <f>IF(INFO!B$8&gt;2,VLOOKUP(F20,'Clb Q (2)'!A$19:G$23,2,0),"")</f>
        <v>HISLER Julien</v>
      </c>
      <c r="C20" s="212">
        <f>IF(INFO!B$8&gt;2,VLOOKUP(F20,'Clb Q (2)'!A$19:G$23,3,0),"")</f>
        <v>92</v>
      </c>
      <c r="D20" s="213">
        <f>IF(INFO!B$8&gt;2,VLOOKUP(F20,'Clb Q (2)'!A$19:G$23,4,0),"")</f>
        <v>92</v>
      </c>
      <c r="E20" s="214">
        <f>IF(INFO!B$8&gt;2,VLOOKUP(F20,'Clb Q (2)'!A$19:G$23,5,0),"")</f>
        <v>95</v>
      </c>
      <c r="F20" s="211">
        <f>IF(INFO!B$8&gt;2,LARGE('Clb Q (2)'!A$19:A$23,1),"")</f>
        <v>279.00000950919997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2" customHeight="1">
      <c r="A21" s="207"/>
      <c r="B21" s="211" t="str">
        <f>IF(INFO!B$8&gt;2,VLOOKUP(F21,'Clb Q (2)'!A$19:G$23,2,0),"")</f>
        <v>DERESSE Françoise</v>
      </c>
      <c r="C21" s="212">
        <f>IF(INFO!B$8&gt;2,VLOOKUP(F21,'Clb Q (2)'!A$19:G$23,3,0),"")</f>
        <v>86</v>
      </c>
      <c r="D21" s="213">
        <f>IF(INFO!B$8&gt;2,VLOOKUP(F21,'Clb Q (2)'!A$19:G$23,4,0),"")</f>
        <v>86</v>
      </c>
      <c r="E21" s="214">
        <f>IF(INFO!B$8&gt;2,VLOOKUP(F21,'Clb Q (2)'!A$19:G$23,5,0),"")</f>
        <v>94</v>
      </c>
      <c r="F21" s="211">
        <f>IF(INFO!B$8&gt;2,LARGE('Clb Q (2)'!A$19:A$23,2),"")</f>
        <v>266.00000940860002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2" customHeight="1">
      <c r="A22" s="207"/>
      <c r="B22" s="211" t="str">
        <f>IF(INFO!B$8&gt;2,VLOOKUP(F22,'Clb Q (2)'!A$19:G$23,2,0),"")</f>
        <v>SOUFI Fayçal</v>
      </c>
      <c r="C22" s="212">
        <f>IF(INFO!B$8&gt;2,VLOOKUP(F22,'Clb Q (2)'!A$19:G$23,3,0),"")</f>
        <v>86</v>
      </c>
      <c r="D22" s="213">
        <f>IF(INFO!B$8&gt;2,VLOOKUP(F22,'Clb Q (2)'!A$19:G$23,4,0),"")</f>
        <v>85</v>
      </c>
      <c r="E22" s="214">
        <f>IF(INFO!B$8&gt;2,VLOOKUP(F22,'Clb Q (2)'!A$19:G$23,5,0),"")</f>
        <v>89</v>
      </c>
      <c r="F22" s="211">
        <f>IF(INFO!B$8&gt;2,LARGE('Clb Q (2)'!A$19:A$23,3),"")</f>
        <v>260.00000890850004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2" customHeight="1">
      <c r="A23" s="207"/>
      <c r="B23" s="211" t="str">
        <f>IF(INFO!B$8&gt;2,VLOOKUP(F23,'Clb Q (2)'!A$19:G$23,2,0),"")</f>
        <v>CHANEL Angélique</v>
      </c>
      <c r="C23" s="212">
        <f>IF(INFO!B$8&gt;2,VLOOKUP(F23,'Clb Q (2)'!A$19:G$23,3,0),"")</f>
        <v>76</v>
      </c>
      <c r="D23" s="213">
        <f>IF(INFO!B$8&gt;2,VLOOKUP(F23,'Clb Q (2)'!A$19:G$23,4,0),"")</f>
        <v>89</v>
      </c>
      <c r="E23" s="214">
        <f>IF(INFO!B$8&gt;2,VLOOKUP(F23,'Clb Q (2)'!A$19:G$23,5,0),"")</f>
        <v>90</v>
      </c>
      <c r="F23" s="211">
        <f>IF(INFO!B$8&gt;2,LARGE('Clb Q (2)'!A$19:A$23,4),"")</f>
        <v>255.00000900890001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2" customHeight="1" thickBot="1">
      <c r="A24" s="207"/>
      <c r="B24" s="215" t="str">
        <f>IF(INFO!B$8&gt;2,VLOOKUP(F24,'Clb Q (2)'!A$19:G$23,2,0),"")</f>
        <v>GAMBIER Clément</v>
      </c>
      <c r="C24" s="216">
        <f>IF(INFO!B$8&gt;2,VLOOKUP(F24,'Clb Q (2)'!A$19:G$23,3,0),"")</f>
        <v>73</v>
      </c>
      <c r="D24" s="217">
        <f>IF(INFO!B$8&gt;2,VLOOKUP(F24,'Clb Q (2)'!A$19:G$23,4,0),"")</f>
        <v>67</v>
      </c>
      <c r="E24" s="218">
        <f>IF(INFO!B$8&gt;2,VLOOKUP(F24,'Clb Q (2)'!A$19:G$23,5,0),"")</f>
        <v>71</v>
      </c>
      <c r="F24" s="215">
        <f>IF(INFO!B$8&gt;2,LARGE('Clb Q (2)'!A$19:A$23,5),"")</f>
        <v>211.0000071067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2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2" customHeight="1" thickBot="1">
      <c r="A26" s="219"/>
      <c r="B26" s="206" t="str">
        <f>IF(INFO!B8&gt;3,"CLUB N°4","")</f>
        <v>CLUB N°4</v>
      </c>
      <c r="C26" s="289" t="str">
        <f>IF(INFO!B8&gt;3,'Clb Q (2)'!C25,"")</f>
        <v>FRATERNELLE AIX</v>
      </c>
      <c r="D26" s="290"/>
      <c r="E26" s="290"/>
      <c r="F26" s="205">
        <f>IF(INFO!B8&gt;3,'Clb Q (2)'!F25,"")</f>
        <v>1263</v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2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2" customHeight="1">
      <c r="A28" s="207"/>
      <c r="B28" s="211" t="str">
        <f>IF(INFO!B$8&gt;3,VLOOKUP(F28,'Clb Q (2)'!A$27:G$31,2,0),"")</f>
        <v>CHAPELOT Denise</v>
      </c>
      <c r="C28" s="212">
        <f>IF(INFO!B$8&gt;3,VLOOKUP(F28,'Clb Q (2)'!A$27:G$31,3,0),"")</f>
        <v>90</v>
      </c>
      <c r="D28" s="213">
        <f>IF(INFO!B$8&gt;3,VLOOKUP(F28,'Clb Q (2)'!A$27:G$31,4,0),"")</f>
        <v>88</v>
      </c>
      <c r="E28" s="214">
        <f>IF(INFO!B$8&gt;3,VLOOKUP(F28,'Clb Q (2)'!A$27:G$31,5,0),"")</f>
        <v>95</v>
      </c>
      <c r="F28" s="211">
        <f>IF(INFO!B$8&gt;3,LARGE('Clb Q (2)'!A$27:A$31,1),"")</f>
        <v>273.00000950879996</v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2" customHeight="1">
      <c r="A29" s="207"/>
      <c r="B29" s="211" t="str">
        <f>IF(INFO!B$8&gt;3,VLOOKUP(F29,'Clb Q (2)'!A$27:G$31,2,0),"")</f>
        <v>FANCINELLI Sébastien</v>
      </c>
      <c r="C29" s="212">
        <f>IF(INFO!B$8&gt;3,VLOOKUP(F29,'Clb Q (2)'!A$27:G$31,3,0),"")</f>
        <v>90</v>
      </c>
      <c r="D29" s="213">
        <f>IF(INFO!B$8&gt;3,VLOOKUP(F29,'Clb Q (2)'!A$27:G$31,4,0),"")</f>
        <v>89</v>
      </c>
      <c r="E29" s="214">
        <f>IF(INFO!B$8&gt;3,VLOOKUP(F29,'Clb Q (2)'!A$27:G$31,5,0),"")</f>
        <v>91</v>
      </c>
      <c r="F29" s="211">
        <f>IF(INFO!B$8&gt;3,LARGE('Clb Q (2)'!A$27:A$31,2),"")</f>
        <v>270.00000910889997</v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2" customHeight="1">
      <c r="A30" s="207"/>
      <c r="B30" s="211" t="str">
        <f>IF(INFO!B$8&gt;3,VLOOKUP(F30,'Clb Q (2)'!A$27:G$31,2,0),"")</f>
        <v>CROZE Jean-Philippe</v>
      </c>
      <c r="C30" s="212">
        <f>IF(INFO!B$8&gt;3,VLOOKUP(F30,'Clb Q (2)'!A$27:G$31,3,0),"")</f>
        <v>84</v>
      </c>
      <c r="D30" s="213">
        <f>IF(INFO!B$8&gt;3,VLOOKUP(F30,'Clb Q (2)'!A$27:G$31,4,0),"")</f>
        <v>81</v>
      </c>
      <c r="E30" s="214">
        <f>IF(INFO!B$8&gt;3,VLOOKUP(F30,'Clb Q (2)'!A$27:G$31,5,0),"")</f>
        <v>87</v>
      </c>
      <c r="F30" s="211">
        <f>IF(INFO!B$8&gt;3,LARGE('Clb Q (2)'!A$27:A$31,3),"")</f>
        <v>252.00000870809998</v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2" customHeight="1">
      <c r="A31" s="207"/>
      <c r="B31" s="211" t="str">
        <f>IF(INFO!B$8&gt;3,VLOOKUP(F31,'Clb Q (2)'!A$27:G$31,2,0),"")</f>
        <v>BERNARD Louis</v>
      </c>
      <c r="C31" s="212">
        <f>IF(INFO!B$8&gt;3,VLOOKUP(F31,'Clb Q (2)'!A$27:G$31,3,0),"")</f>
        <v>79</v>
      </c>
      <c r="D31" s="213">
        <f>IF(INFO!B$8&gt;3,VLOOKUP(F31,'Clb Q (2)'!A$27:G$31,4,0),"")</f>
        <v>85</v>
      </c>
      <c r="E31" s="214">
        <f>IF(INFO!B$8&gt;3,VLOOKUP(F31,'Clb Q (2)'!A$27:G$31,5,0),"")</f>
        <v>77</v>
      </c>
      <c r="F31" s="211">
        <f>IF(INFO!B$8&gt;3,LARGE('Clb Q (2)'!A$27:A$31,4),"")</f>
        <v>241.00000770849999</v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2" customHeight="1" thickBot="1">
      <c r="A32" s="207"/>
      <c r="B32" s="215" t="str">
        <f>IF(INFO!B$8&gt;3,VLOOKUP(F32,'Clb Q (2)'!A$27:G$31,2,0),"")</f>
        <v>GARDARIN Frédérique</v>
      </c>
      <c r="C32" s="216">
        <f>IF(INFO!B$8&gt;3,VLOOKUP(F32,'Clb Q (2)'!A$27:G$31,3,0),"")</f>
        <v>83</v>
      </c>
      <c r="D32" s="217">
        <f>IF(INFO!B$8&gt;3,VLOOKUP(F32,'Clb Q (2)'!A$27:G$31,4,0),"")</f>
        <v>71</v>
      </c>
      <c r="E32" s="218">
        <f>IF(INFO!B$8&gt;3,VLOOKUP(F32,'Clb Q (2)'!A$27:G$31,5,0),"")</f>
        <v>73</v>
      </c>
      <c r="F32" s="215">
        <f>IF(INFO!B$8&gt;3,LARGE('Clb Q (2)'!A$27:A$31,5),"")</f>
        <v>227.00000730709999</v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pageSetUpPr fitToPage="1"/>
  </sheetPr>
  <dimension ref="A1:V77"/>
  <sheetViews>
    <sheetView showGridLines="0" zoomScale="80" zoomScaleNormal="80" zoomScalePageLayoutView="80" workbookViewId="0">
      <pane ySplit="3" topLeftCell="A63" activePane="bottomLeft" state="frozenSplit"/>
      <selection activeCell="B12" sqref="B12"/>
      <selection pane="bottomLeft" activeCell="M76" sqref="M76"/>
    </sheetView>
  </sheetViews>
  <sheetFormatPr baseColWidth="10" defaultColWidth="8.140625" defaultRowHeight="28" customHeight="1" outlineLevelRow="1" x14ac:dyDescent="0"/>
  <cols>
    <col min="1" max="2" width="8.140625" style="27" customWidth="1"/>
    <col min="3" max="3" width="10.7109375" style="27" customWidth="1"/>
    <col min="4" max="5" width="8.140625" style="27" customWidth="1"/>
    <col min="6" max="7" width="6.7109375" style="27" customWidth="1"/>
    <col min="8" max="9" width="8.140625" style="27" customWidth="1"/>
    <col min="10" max="10" width="10.7109375" style="27" customWidth="1"/>
    <col min="11" max="12" width="6.7109375" style="27" customWidth="1"/>
    <col min="13" max="13" width="10.7109375" style="27" customWidth="1"/>
    <col min="14" max="15" width="8.140625" style="27" customWidth="1"/>
    <col min="16" max="17" width="6.7109375" style="27" customWidth="1"/>
    <col min="18" max="19" width="8.140625" style="27" customWidth="1"/>
    <col min="20" max="20" width="10.7109375" style="27" customWidth="1"/>
    <col min="21" max="16384" width="8.140625" style="27"/>
  </cols>
  <sheetData>
    <row r="1" spans="2:22" ht="29" customHeight="1"/>
    <row r="2" spans="2:22" ht="59">
      <c r="B2" s="335" t="str">
        <f>CONCATENATE(INFO!B7," - ",INFO!B9)</f>
        <v>PISTOLET -  SAVOIE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8" customHeight="1" thickBot="1">
      <c r="C5" s="324" t="str">
        <f>'Clb Q'!C2</f>
        <v>CT CHAMBERY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>TOS</v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2" customHeight="1" outlineLevel="1">
      <c r="C6" s="321" t="str">
        <f>'Clb Q'!B4</f>
        <v>PETINGA Priscilla</v>
      </c>
      <c r="D6" s="322"/>
      <c r="E6" s="323"/>
      <c r="F6" s="127">
        <v>1</v>
      </c>
      <c r="G6" s="128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>HISLER Julien</v>
      </c>
      <c r="N6" s="322"/>
      <c r="O6" s="323"/>
      <c r="P6" s="127">
        <v>1</v>
      </c>
      <c r="Q6" s="128">
        <v>2</v>
      </c>
      <c r="R6" s="321" t="str">
        <f>'Clb Q'!H20</f>
        <v/>
      </c>
      <c r="S6" s="322"/>
      <c r="T6" s="323"/>
    </row>
    <row r="7" spans="2:22" s="31" customFormat="1" ht="22" customHeight="1" outlineLevel="1">
      <c r="C7" s="321" t="str">
        <f>'Clb Q'!B5</f>
        <v>PERRET Jean-François</v>
      </c>
      <c r="D7" s="322"/>
      <c r="E7" s="323"/>
      <c r="F7" s="129">
        <v>3</v>
      </c>
      <c r="G7" s="130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>DERESSE Françoise</v>
      </c>
      <c r="N7" s="322"/>
      <c r="O7" s="323"/>
      <c r="P7" s="129">
        <v>3</v>
      </c>
      <c r="Q7" s="130">
        <v>4</v>
      </c>
      <c r="R7" s="321" t="str">
        <f>'Clb Q'!H21</f>
        <v/>
      </c>
      <c r="S7" s="322"/>
      <c r="T7" s="323"/>
    </row>
    <row r="8" spans="2:22" s="31" customFormat="1" ht="22" customHeight="1" outlineLevel="1">
      <c r="C8" s="321" t="str">
        <f>'Clb Q'!B6</f>
        <v>GUPUIT Anne</v>
      </c>
      <c r="D8" s="322"/>
      <c r="E8" s="323"/>
      <c r="F8" s="129">
        <v>5</v>
      </c>
      <c r="G8" s="130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>SOUFI Fayçal</v>
      </c>
      <c r="N8" s="322"/>
      <c r="O8" s="323"/>
      <c r="P8" s="129">
        <v>5</v>
      </c>
      <c r="Q8" s="130">
        <v>6</v>
      </c>
      <c r="R8" s="321" t="str">
        <f>'Clb Q'!H22</f>
        <v/>
      </c>
      <c r="S8" s="322"/>
      <c r="T8" s="323"/>
    </row>
    <row r="9" spans="2:22" s="31" customFormat="1" ht="22" customHeight="1" outlineLevel="1">
      <c r="C9" s="321" t="str">
        <f>'Clb Q'!B7</f>
        <v>GIANSILY Philippe</v>
      </c>
      <c r="D9" s="322"/>
      <c r="E9" s="323"/>
      <c r="F9" s="129">
        <v>7</v>
      </c>
      <c r="G9" s="130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>CHANEL Angélique</v>
      </c>
      <c r="N9" s="322"/>
      <c r="O9" s="323"/>
      <c r="P9" s="129">
        <v>7</v>
      </c>
      <c r="Q9" s="130">
        <v>8</v>
      </c>
      <c r="R9" s="321" t="str">
        <f>'Clb Q'!H23</f>
        <v/>
      </c>
      <c r="S9" s="322"/>
      <c r="T9" s="323"/>
    </row>
    <row r="10" spans="2:22" s="31" customFormat="1" ht="22" customHeight="1" outlineLevel="1" thickBot="1">
      <c r="C10" s="321" t="str">
        <f>'Clb Q'!B8</f>
        <v>BOUFFARD Jacqueline</v>
      </c>
      <c r="D10" s="322"/>
      <c r="E10" s="323"/>
      <c r="F10" s="131">
        <v>9</v>
      </c>
      <c r="G10" s="132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>GAMBIER Clément</v>
      </c>
      <c r="N10" s="322"/>
      <c r="O10" s="323"/>
      <c r="P10" s="131">
        <v>9</v>
      </c>
      <c r="Q10" s="132">
        <v>10</v>
      </c>
      <c r="R10" s="321" t="str">
        <f>'Clb Q'!H24</f>
        <v/>
      </c>
      <c r="S10" s="322"/>
      <c r="T10" s="323"/>
    </row>
    <row r="11" spans="2:22" ht="22" customHeight="1">
      <c r="B11" s="34" t="str">
        <f>IF(E11="","",IF(E11&gt;2,1,0))</f>
        <v/>
      </c>
      <c r="C11" s="297" t="str">
        <f>IF(E11="","",SUM(B11:B17))</f>
        <v/>
      </c>
      <c r="D11" s="298"/>
      <c r="E11" s="74"/>
      <c r="F11" s="302"/>
      <c r="G11" s="303"/>
      <c r="H11" s="74"/>
      <c r="I11" s="327" t="str">
        <f>IF(H11="","",SUM(K11:K17))</f>
        <v/>
      </c>
      <c r="J11" s="297"/>
      <c r="K11" s="59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4"/>
      <c r="P11" s="302"/>
      <c r="Q11" s="303"/>
      <c r="R11" s="74"/>
      <c r="S11" s="327" t="str">
        <f>IF(R11="","",SUM(U11:U17))</f>
        <v/>
      </c>
      <c r="T11" s="297"/>
      <c r="U11" s="59" t="str">
        <f t="shared" ref="U11:U17" si="0">IF(R11="","",IF(R11&gt;2,1,0))</f>
        <v/>
      </c>
      <c r="V11" s="35"/>
    </row>
    <row r="12" spans="2:22" ht="22" customHeight="1">
      <c r="B12" s="34" t="str">
        <f t="shared" ref="B12:B17" si="1">IF(E12="","",IF(E12&gt;2,1,0))</f>
        <v/>
      </c>
      <c r="C12" s="299"/>
      <c r="D12" s="300"/>
      <c r="E12" s="75"/>
      <c r="F12" s="293"/>
      <c r="G12" s="294"/>
      <c r="H12" s="75"/>
      <c r="I12" s="328"/>
      <c r="J12" s="299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5"/>
      <c r="P12" s="293"/>
      <c r="Q12" s="294"/>
      <c r="R12" s="75"/>
      <c r="S12" s="328"/>
      <c r="T12" s="299"/>
      <c r="U12" s="59" t="str">
        <f t="shared" si="0"/>
        <v/>
      </c>
      <c r="V12" s="35"/>
    </row>
    <row r="13" spans="2:22" ht="22" customHeight="1">
      <c r="B13" s="34" t="str">
        <f t="shared" si="1"/>
        <v/>
      </c>
      <c r="C13" s="299"/>
      <c r="D13" s="300"/>
      <c r="E13" s="75"/>
      <c r="F13" s="293"/>
      <c r="G13" s="294"/>
      <c r="H13" s="75"/>
      <c r="I13" s="328"/>
      <c r="J13" s="299"/>
      <c r="K13" s="59" t="str">
        <f t="shared" si="2"/>
        <v/>
      </c>
      <c r="L13" s="34" t="str">
        <f t="shared" si="3"/>
        <v/>
      </c>
      <c r="M13" s="299"/>
      <c r="N13" s="300"/>
      <c r="O13" s="75"/>
      <c r="P13" s="293"/>
      <c r="Q13" s="294"/>
      <c r="R13" s="75"/>
      <c r="S13" s="328"/>
      <c r="T13" s="299"/>
      <c r="U13" s="59" t="str">
        <f t="shared" si="0"/>
        <v/>
      </c>
      <c r="V13" s="35"/>
    </row>
    <row r="14" spans="2:22" ht="22" customHeight="1">
      <c r="B14" s="34" t="str">
        <f t="shared" si="1"/>
        <v/>
      </c>
      <c r="C14" s="299"/>
      <c r="D14" s="300"/>
      <c r="E14" s="75"/>
      <c r="F14" s="293"/>
      <c r="G14" s="294"/>
      <c r="H14" s="75"/>
      <c r="I14" s="328"/>
      <c r="J14" s="299"/>
      <c r="K14" s="59" t="str">
        <f t="shared" si="2"/>
        <v/>
      </c>
      <c r="L14" s="34" t="str">
        <f t="shared" si="3"/>
        <v/>
      </c>
      <c r="M14" s="299"/>
      <c r="N14" s="300"/>
      <c r="O14" s="75"/>
      <c r="P14" s="293"/>
      <c r="Q14" s="294"/>
      <c r="R14" s="75"/>
      <c r="S14" s="328"/>
      <c r="T14" s="299"/>
      <c r="U14" s="59" t="str">
        <f t="shared" si="0"/>
        <v/>
      </c>
      <c r="V14" s="35"/>
    </row>
    <row r="15" spans="2:22" ht="22" customHeight="1">
      <c r="B15" s="34" t="str">
        <f t="shared" si="1"/>
        <v/>
      </c>
      <c r="C15" s="299"/>
      <c r="D15" s="300"/>
      <c r="E15" s="75"/>
      <c r="F15" s="293"/>
      <c r="G15" s="294"/>
      <c r="H15" s="75"/>
      <c r="I15" s="328"/>
      <c r="J15" s="299"/>
      <c r="K15" s="59" t="str">
        <f t="shared" si="2"/>
        <v/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2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2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8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>FRATERNELLE AIX</v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CT MODANE</v>
      </c>
      <c r="S19" s="325"/>
      <c r="T19" s="326"/>
      <c r="V19" s="30"/>
    </row>
    <row r="20" spans="2:22" s="31" customFormat="1" ht="22" customHeight="1" outlineLevel="1">
      <c r="C20" s="321" t="str">
        <f>'Clb Q'!H28</f>
        <v/>
      </c>
      <c r="D20" s="322"/>
      <c r="E20" s="323"/>
      <c r="F20" s="127">
        <v>11</v>
      </c>
      <c r="G20" s="128">
        <v>12</v>
      </c>
      <c r="H20" s="321" t="str">
        <f>'Clb Q'!B28</f>
        <v>CHAPELOT Denise</v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7">
        <v>11</v>
      </c>
      <c r="Q20" s="128">
        <v>12</v>
      </c>
      <c r="R20" s="321" t="str">
        <f>'Clb Q'!B12</f>
        <v>KOVACS Julien</v>
      </c>
      <c r="S20" s="322"/>
      <c r="T20" s="323"/>
      <c r="V20" s="33"/>
    </row>
    <row r="21" spans="2:22" s="31" customFormat="1" ht="22" customHeight="1" outlineLevel="1">
      <c r="C21" s="321" t="str">
        <f>'Clb Q'!H29</f>
        <v/>
      </c>
      <c r="D21" s="322"/>
      <c r="E21" s="323"/>
      <c r="F21" s="129">
        <v>13</v>
      </c>
      <c r="G21" s="130">
        <v>14</v>
      </c>
      <c r="H21" s="321" t="str">
        <f>'Clb Q'!B29</f>
        <v>FANCINELLI Sébastien</v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9">
        <v>13</v>
      </c>
      <c r="Q21" s="130">
        <v>14</v>
      </c>
      <c r="R21" s="321" t="str">
        <f>'Clb Q'!B13</f>
        <v>BAUDRIN Jean</v>
      </c>
      <c r="S21" s="322"/>
      <c r="T21" s="323"/>
      <c r="V21" s="33"/>
    </row>
    <row r="22" spans="2:22" s="31" customFormat="1" ht="22" customHeight="1" outlineLevel="1">
      <c r="C22" s="321" t="str">
        <f>'Clb Q'!H30</f>
        <v/>
      </c>
      <c r="D22" s="322"/>
      <c r="E22" s="323"/>
      <c r="F22" s="129">
        <v>15</v>
      </c>
      <c r="G22" s="130">
        <v>16</v>
      </c>
      <c r="H22" s="321" t="str">
        <f>'Clb Q'!B30</f>
        <v>CROZE Jean-Philippe</v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9">
        <v>15</v>
      </c>
      <c r="Q22" s="130">
        <v>16</v>
      </c>
      <c r="R22" s="321" t="str">
        <f>'Clb Q'!B14</f>
        <v>YARD Jean</v>
      </c>
      <c r="S22" s="322"/>
      <c r="T22" s="323"/>
      <c r="V22" s="33"/>
    </row>
    <row r="23" spans="2:22" s="31" customFormat="1" ht="22" customHeight="1" outlineLevel="1">
      <c r="C23" s="321" t="str">
        <f>'Clb Q'!H31</f>
        <v/>
      </c>
      <c r="D23" s="322"/>
      <c r="E23" s="323"/>
      <c r="F23" s="129">
        <v>17</v>
      </c>
      <c r="G23" s="130">
        <v>18</v>
      </c>
      <c r="H23" s="321" t="str">
        <f>'Clb Q'!B31</f>
        <v>BERNARD Louis</v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9">
        <v>17</v>
      </c>
      <c r="Q23" s="130">
        <v>18</v>
      </c>
      <c r="R23" s="321" t="str">
        <f>'Clb Q'!B15</f>
        <v>MARMORAT Catherine</v>
      </c>
      <c r="S23" s="322"/>
      <c r="T23" s="323"/>
      <c r="V23" s="33"/>
    </row>
    <row r="24" spans="2:22" s="31" customFormat="1" ht="22" customHeight="1" outlineLevel="1" thickBot="1">
      <c r="C24" s="321" t="str">
        <f>'Clb Q'!H32</f>
        <v/>
      </c>
      <c r="D24" s="322"/>
      <c r="E24" s="323"/>
      <c r="F24" s="131">
        <v>19</v>
      </c>
      <c r="G24" s="132">
        <v>20</v>
      </c>
      <c r="H24" s="321" t="str">
        <f>'Clb Q'!B32</f>
        <v>GARDARIN Frédérique</v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1">
        <v>19</v>
      </c>
      <c r="Q24" s="132">
        <v>20</v>
      </c>
      <c r="R24" s="321" t="str">
        <f>'Clb Q'!B16</f>
        <v>RIONDET lionel</v>
      </c>
      <c r="S24" s="322"/>
      <c r="T24" s="323"/>
      <c r="V24" s="33"/>
    </row>
    <row r="25" spans="2:22" ht="22" customHeight="1">
      <c r="B25" s="34" t="str">
        <f>IF(E25="","",IF(E25&gt;2,1,0))</f>
        <v/>
      </c>
      <c r="C25" s="297" t="str">
        <f>IF(E25="","",SUM(B25:B31))</f>
        <v/>
      </c>
      <c r="D25" s="298"/>
      <c r="E25" s="74"/>
      <c r="F25" s="302"/>
      <c r="G25" s="303"/>
      <c r="H25" s="74"/>
      <c r="I25" s="327" t="str">
        <f>IF(H25="","",SUM(K25:K31))</f>
        <v/>
      </c>
      <c r="J25" s="297"/>
      <c r="K25" s="59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4"/>
      <c r="P25" s="302"/>
      <c r="Q25" s="303"/>
      <c r="R25" s="74"/>
      <c r="S25" s="327" t="str">
        <f>IF(R25="","",SUM(U25:U31))</f>
        <v/>
      </c>
      <c r="T25" s="297"/>
      <c r="U25" s="59" t="str">
        <f>IF(R25="","",IF(R25&gt;2,1,0))</f>
        <v/>
      </c>
      <c r="V25" s="35"/>
    </row>
    <row r="26" spans="2:22" ht="22" customHeight="1">
      <c r="B26" s="34" t="str">
        <f t="shared" ref="B26:B31" si="4">IF(E26="","",IF(E26&gt;2,1,0))</f>
        <v/>
      </c>
      <c r="C26" s="299"/>
      <c r="D26" s="300"/>
      <c r="E26" s="75"/>
      <c r="F26" s="293"/>
      <c r="G26" s="294"/>
      <c r="H26" s="75"/>
      <c r="I26" s="328"/>
      <c r="J26" s="299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5"/>
      <c r="P26" s="293"/>
      <c r="Q26" s="294"/>
      <c r="R26" s="75"/>
      <c r="S26" s="328"/>
      <c r="T26" s="299"/>
      <c r="U26" s="59" t="str">
        <f t="shared" ref="U26:U31" si="7">IF(R26="","",IF(R26&gt;2,1,0))</f>
        <v/>
      </c>
      <c r="V26" s="35"/>
    </row>
    <row r="27" spans="2:22" ht="22" customHeight="1">
      <c r="B27" s="34" t="str">
        <f t="shared" si="4"/>
        <v/>
      </c>
      <c r="C27" s="299"/>
      <c r="D27" s="300"/>
      <c r="E27" s="75"/>
      <c r="F27" s="293"/>
      <c r="G27" s="294"/>
      <c r="H27" s="75"/>
      <c r="I27" s="328"/>
      <c r="J27" s="299"/>
      <c r="K27" s="59" t="str">
        <f t="shared" si="5"/>
        <v/>
      </c>
      <c r="L27" s="34" t="str">
        <f t="shared" si="6"/>
        <v/>
      </c>
      <c r="M27" s="299"/>
      <c r="N27" s="300"/>
      <c r="O27" s="75"/>
      <c r="P27" s="293"/>
      <c r="Q27" s="294"/>
      <c r="R27" s="75"/>
      <c r="S27" s="328"/>
      <c r="T27" s="299"/>
      <c r="U27" s="59" t="str">
        <f t="shared" si="7"/>
        <v/>
      </c>
      <c r="V27" s="35"/>
    </row>
    <row r="28" spans="2:22" ht="22" customHeight="1">
      <c r="B28" s="34" t="str">
        <f t="shared" si="4"/>
        <v/>
      </c>
      <c r="C28" s="299"/>
      <c r="D28" s="300"/>
      <c r="E28" s="75"/>
      <c r="F28" s="293"/>
      <c r="G28" s="294"/>
      <c r="H28" s="75"/>
      <c r="I28" s="328"/>
      <c r="J28" s="299"/>
      <c r="K28" s="59" t="str">
        <f t="shared" si="5"/>
        <v/>
      </c>
      <c r="L28" s="34" t="str">
        <f t="shared" si="6"/>
        <v/>
      </c>
      <c r="M28" s="299"/>
      <c r="N28" s="300"/>
      <c r="O28" s="75"/>
      <c r="P28" s="293"/>
      <c r="Q28" s="294"/>
      <c r="R28" s="75"/>
      <c r="S28" s="328"/>
      <c r="T28" s="299"/>
      <c r="U28" s="59" t="str">
        <f t="shared" si="7"/>
        <v/>
      </c>
      <c r="V28" s="35"/>
    </row>
    <row r="29" spans="2:22" ht="22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 t="str">
        <f t="shared" si="6"/>
        <v/>
      </c>
      <c r="M29" s="299"/>
      <c r="N29" s="300"/>
      <c r="O29" s="75"/>
      <c r="P29" s="293"/>
      <c r="Q29" s="294"/>
      <c r="R29" s="75"/>
      <c r="S29" s="328"/>
      <c r="T29" s="299"/>
      <c r="U29" s="59" t="str">
        <f t="shared" si="7"/>
        <v/>
      </c>
      <c r="V29" s="35"/>
    </row>
    <row r="30" spans="2:22" ht="22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2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400" hidden="1" customHeight="1" outlineLevel="1">
      <c r="K32" s="35"/>
    </row>
    <row r="33" spans="2:22" ht="100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8" customHeight="1" thickBot="1">
      <c r="C35" s="332" t="str">
        <f>IF(H5="",C5,IF(C11="","",IF(I11="","",IF(C11&gt;3,C5,IF(I11&gt;3,H5,"")))))</f>
        <v>CT CHAMBERY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>FRATERNELLE AIX</v>
      </c>
      <c r="I35" s="333"/>
      <c r="J35" s="334"/>
      <c r="K35" s="61"/>
      <c r="L35" s="29"/>
      <c r="M35" s="332" t="str">
        <f>IF(R5="",M5,IF(M11="","",IF(S11="","",IF(M11&gt;3,M5,IF(S11&gt;3,R5,"")))))</f>
        <v>TOS</v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CT MODANE</v>
      </c>
      <c r="S35" s="333"/>
      <c r="T35" s="334"/>
    </row>
    <row r="36" spans="2:22" s="31" customFormat="1" ht="22" customHeight="1" outlineLevel="1">
      <c r="C36" s="305" t="str">
        <f>IF(H6="",C6,IF(C11="","",IF(I11="","",IF(C11&gt;3,C6,IF(I11&gt;3,H6,"")))))</f>
        <v>PETINGA Priscilla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>CHAPELOT Denise</v>
      </c>
      <c r="I36" s="306"/>
      <c r="J36" s="307"/>
      <c r="K36" s="61"/>
      <c r="L36" s="32"/>
      <c r="M36" s="305" t="str">
        <f>IF(R6="",M6,IF(M11="","",IF(S11="","",IF(M11&gt;3,M6,IF(S11&gt;3,R6,"")))))</f>
        <v>HISLER Julien</v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KOVACS Julien</v>
      </c>
      <c r="S36" s="306"/>
      <c r="T36" s="307"/>
      <c r="U36" s="60"/>
    </row>
    <row r="37" spans="2:22" s="31" customFormat="1" ht="22" customHeight="1" outlineLevel="1">
      <c r="C37" s="305" t="str">
        <f>IF(H7="",C7,IF(C11="","",IF(I11="","",IF(C11&gt;3,C7,IF(I11&gt;3,H7,"")))))</f>
        <v>PERRET Jean-François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>FANCINELLI Sébastien</v>
      </c>
      <c r="I37" s="306"/>
      <c r="J37" s="307"/>
      <c r="K37" s="61"/>
      <c r="L37" s="32"/>
      <c r="M37" s="305" t="str">
        <f>IF(R7="",M7,IF(M11="","",IF(S11="","",IF(M11&gt;3,M7,IF(S11&gt;3,R7,"")))))</f>
        <v>DERESSE Françoise</v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BAUDRIN Jean</v>
      </c>
      <c r="S37" s="306"/>
      <c r="T37" s="307"/>
      <c r="U37" s="60"/>
    </row>
    <row r="38" spans="2:22" s="31" customFormat="1" ht="22" customHeight="1" outlineLevel="1">
      <c r="C38" s="305" t="str">
        <f>IF(H8="",C8,IF(C11="","",IF(I11="","",IF(C11&gt;3,C8,IF(I11&gt;3,H8,"")))))</f>
        <v>GUPUIT Anne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>CROZE Jean-Philippe</v>
      </c>
      <c r="I38" s="306"/>
      <c r="J38" s="307"/>
      <c r="K38" s="61"/>
      <c r="L38" s="32"/>
      <c r="M38" s="305" t="str">
        <f>IF(R8="",M8,IF(M11="","",IF(S11="","",IF(M11&gt;3,M8,IF(S11&gt;3,R8,"")))))</f>
        <v>SOUFI Fayçal</v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YARD Jean</v>
      </c>
      <c r="S38" s="306"/>
      <c r="T38" s="307"/>
      <c r="U38" s="60"/>
    </row>
    <row r="39" spans="2:22" s="31" customFormat="1" ht="22" customHeight="1" outlineLevel="1">
      <c r="C39" s="305" t="str">
        <f>IF(H9="",C9,IF(C11="","",IF(I11="","",IF(C11&gt;3,C9,IF(I11&gt;3,H9,"")))))</f>
        <v>GIANSILY Philippe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>BERNARD Louis</v>
      </c>
      <c r="I39" s="306"/>
      <c r="J39" s="307"/>
      <c r="K39" s="61"/>
      <c r="L39" s="32"/>
      <c r="M39" s="305" t="str">
        <f>IF(R9="",M9,IF(M11="","",IF(S11="","",IF(M11&gt;3,M9,IF(S11&gt;3,R9,"")))))</f>
        <v>CHANEL Angélique</v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MARMORAT Catherine</v>
      </c>
      <c r="S39" s="306"/>
      <c r="T39" s="307"/>
      <c r="U39" s="60"/>
    </row>
    <row r="40" spans="2:22" s="31" customFormat="1" ht="22" customHeight="1" outlineLevel="1" thickBot="1">
      <c r="C40" s="305" t="str">
        <f>IF(H10="",C10,IF(C11="","",IF(I11="","",IF(C11&gt;3,C10,IF(I11&gt;3,H10,"")))))</f>
        <v>BOUFFARD Jacqueline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>GARDARIN Frédérique</v>
      </c>
      <c r="I40" s="306"/>
      <c r="J40" s="307"/>
      <c r="K40" s="61"/>
      <c r="L40" s="32"/>
      <c r="M40" s="305" t="str">
        <f>IF(R10="",M10,IF(M11="","",IF(S11="","",IF(M11&gt;3,M10,IF(S11&gt;3,R10,"")))))</f>
        <v>GAMBIER Clément</v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RIONDET lionel</v>
      </c>
      <c r="S40" s="306"/>
      <c r="T40" s="307"/>
      <c r="U40" s="60"/>
    </row>
    <row r="41" spans="2:22" ht="22" customHeight="1">
      <c r="B41" s="34">
        <f>IF(E41="","",IF(E41&gt;2,1,0))</f>
        <v>0</v>
      </c>
      <c r="C41" s="297">
        <f>IF(E41="","",SUM(B41:B47))</f>
        <v>4</v>
      </c>
      <c r="D41" s="298"/>
      <c r="E41" s="74">
        <v>2</v>
      </c>
      <c r="F41" s="302"/>
      <c r="G41" s="303"/>
      <c r="H41" s="74">
        <v>3</v>
      </c>
      <c r="I41" s="327">
        <f>IF(H41="","",SUM(K41:K47))</f>
        <v>2</v>
      </c>
      <c r="J41" s="297"/>
      <c r="K41" s="59">
        <f>IF(H41="","",IF(H41&gt;2,1,0))</f>
        <v>1</v>
      </c>
      <c r="L41" s="39">
        <f>IF(O41="","",IF(O41&gt;2,1,0))</f>
        <v>1</v>
      </c>
      <c r="M41" s="297">
        <f>IF(O41="","",SUM(L41:L47))</f>
        <v>4</v>
      </c>
      <c r="N41" s="298"/>
      <c r="O41" s="74">
        <v>3</v>
      </c>
      <c r="P41" s="302"/>
      <c r="Q41" s="303"/>
      <c r="R41" s="74">
        <v>2</v>
      </c>
      <c r="S41" s="327">
        <f>IF(R41="","",SUM(U41:U47))</f>
        <v>0</v>
      </c>
      <c r="T41" s="297"/>
      <c r="U41" s="59">
        <f>IF(R41="","",IF(R41&gt;2,1,0))</f>
        <v>0</v>
      </c>
      <c r="V41" s="35"/>
    </row>
    <row r="42" spans="2:22" ht="22" customHeight="1">
      <c r="B42" s="34">
        <f t="shared" ref="B42:B47" si="8">IF(E42="","",IF(E42&gt;2,1,0))</f>
        <v>1</v>
      </c>
      <c r="C42" s="299"/>
      <c r="D42" s="300"/>
      <c r="E42" s="75">
        <v>3</v>
      </c>
      <c r="F42" s="293"/>
      <c r="G42" s="294"/>
      <c r="H42" s="75">
        <v>2</v>
      </c>
      <c r="I42" s="328"/>
      <c r="J42" s="299"/>
      <c r="K42" s="59">
        <f t="shared" ref="K42:K47" si="9">IF(H42="","",IF(H42&gt;2,1,0))</f>
        <v>0</v>
      </c>
      <c r="L42" s="39">
        <f t="shared" ref="L42:L47" si="10">IF(O42="","",IF(O42&gt;2,1,0))</f>
        <v>1</v>
      </c>
      <c r="M42" s="299"/>
      <c r="N42" s="300"/>
      <c r="O42" s="75">
        <v>4</v>
      </c>
      <c r="P42" s="293"/>
      <c r="Q42" s="294"/>
      <c r="R42" s="75">
        <v>1</v>
      </c>
      <c r="S42" s="328"/>
      <c r="T42" s="299"/>
      <c r="U42" s="59">
        <f t="shared" ref="U42:U47" si="11">IF(R42="","",IF(R42&gt;2,1,0))</f>
        <v>0</v>
      </c>
      <c r="V42" s="35"/>
    </row>
    <row r="43" spans="2:22" ht="22" customHeight="1">
      <c r="B43" s="34">
        <f t="shared" si="8"/>
        <v>1</v>
      </c>
      <c r="C43" s="299"/>
      <c r="D43" s="300"/>
      <c r="E43" s="75">
        <v>3</v>
      </c>
      <c r="F43" s="293"/>
      <c r="G43" s="294"/>
      <c r="H43" s="75">
        <v>2</v>
      </c>
      <c r="I43" s="328"/>
      <c r="J43" s="299"/>
      <c r="K43" s="59">
        <f t="shared" si="9"/>
        <v>0</v>
      </c>
      <c r="L43" s="39">
        <f t="shared" si="10"/>
        <v>1</v>
      </c>
      <c r="M43" s="299"/>
      <c r="N43" s="300"/>
      <c r="O43" s="75">
        <v>3</v>
      </c>
      <c r="P43" s="293"/>
      <c r="Q43" s="294"/>
      <c r="R43" s="75">
        <v>2</v>
      </c>
      <c r="S43" s="328"/>
      <c r="T43" s="299"/>
      <c r="U43" s="59">
        <f t="shared" si="11"/>
        <v>0</v>
      </c>
      <c r="V43" s="35"/>
    </row>
    <row r="44" spans="2:22" ht="22" customHeight="1">
      <c r="B44" s="34">
        <f t="shared" si="8"/>
        <v>0</v>
      </c>
      <c r="C44" s="299"/>
      <c r="D44" s="300"/>
      <c r="E44" s="75">
        <v>1</v>
      </c>
      <c r="F44" s="293"/>
      <c r="G44" s="294"/>
      <c r="H44" s="75">
        <v>4</v>
      </c>
      <c r="I44" s="328"/>
      <c r="J44" s="299"/>
      <c r="K44" s="59">
        <f t="shared" si="9"/>
        <v>1</v>
      </c>
      <c r="L44" s="39">
        <f t="shared" si="10"/>
        <v>1</v>
      </c>
      <c r="M44" s="299"/>
      <c r="N44" s="300"/>
      <c r="O44" s="75">
        <v>3</v>
      </c>
      <c r="P44" s="293"/>
      <c r="Q44" s="294"/>
      <c r="R44" s="75">
        <v>2</v>
      </c>
      <c r="S44" s="328"/>
      <c r="T44" s="299"/>
      <c r="U44" s="59">
        <f t="shared" si="11"/>
        <v>0</v>
      </c>
      <c r="V44" s="35"/>
    </row>
    <row r="45" spans="2:22" ht="22" customHeight="1">
      <c r="B45" s="34">
        <f t="shared" si="8"/>
        <v>1</v>
      </c>
      <c r="C45" s="299"/>
      <c r="D45" s="300"/>
      <c r="E45" s="75">
        <v>3</v>
      </c>
      <c r="F45" s="293"/>
      <c r="G45" s="294"/>
      <c r="H45" s="75">
        <v>2</v>
      </c>
      <c r="I45" s="328"/>
      <c r="J45" s="299"/>
      <c r="K45" s="59">
        <f t="shared" si="9"/>
        <v>0</v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2" customHeight="1">
      <c r="B46" s="34">
        <f t="shared" si="8"/>
        <v>1</v>
      </c>
      <c r="C46" s="299"/>
      <c r="D46" s="300"/>
      <c r="E46" s="75">
        <v>3</v>
      </c>
      <c r="F46" s="293"/>
      <c r="G46" s="294"/>
      <c r="H46" s="75">
        <v>2</v>
      </c>
      <c r="I46" s="328"/>
      <c r="J46" s="299"/>
      <c r="K46" s="59">
        <f t="shared" si="9"/>
        <v>0</v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2" customHeight="1" thickBot="1">
      <c r="B47" s="34" t="str">
        <f t="shared" si="8"/>
        <v/>
      </c>
      <c r="C47" s="299"/>
      <c r="D47" s="300"/>
      <c r="E47" s="76"/>
      <c r="F47" s="293"/>
      <c r="G47" s="294"/>
      <c r="H47" s="76"/>
      <c r="I47" s="328"/>
      <c r="J47" s="299"/>
      <c r="K47" s="59" t="str">
        <f t="shared" si="9"/>
        <v/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8" customHeight="1" thickBot="1">
      <c r="F51" s="309"/>
      <c r="G51" s="320"/>
      <c r="H51" s="329" t="str">
        <f>IF(C41="","",IF(I41="","",IF(C41&gt;3,H35,IF(I41&gt;3,C35,""))))</f>
        <v>FRATERNELLE AIX</v>
      </c>
      <c r="I51" s="330"/>
      <c r="J51" s="331"/>
      <c r="K51" s="295" t="s">
        <v>45</v>
      </c>
      <c r="L51" s="296"/>
      <c r="M51" s="329" t="str">
        <f>IF(M41="","",IF(S41="","",IF(M41&gt;3,R35,IF(S41&gt;3,M35,""))))</f>
        <v>CT MODANE</v>
      </c>
      <c r="N51" s="330"/>
      <c r="O51" s="331"/>
      <c r="P51" s="301"/>
      <c r="Q51" s="291"/>
    </row>
    <row r="52" spans="2:22" s="31" customFormat="1" ht="22" customHeight="1" outlineLevel="1">
      <c r="F52" s="309"/>
      <c r="G52" s="320"/>
      <c r="H52" s="313" t="str">
        <f>IF(C41="","",IF(I41="","",IF(C41&gt;3,H36,IF(I41&gt;3,C36,""))))</f>
        <v>CHAPELOT Denise</v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>KOVACS Julien</v>
      </c>
      <c r="N52" s="314"/>
      <c r="O52" s="315"/>
      <c r="P52" s="301"/>
      <c r="Q52" s="291"/>
    </row>
    <row r="53" spans="2:22" s="31" customFormat="1" ht="22" customHeight="1" outlineLevel="1">
      <c r="F53" s="309"/>
      <c r="G53" s="320"/>
      <c r="H53" s="313" t="str">
        <f>IF(C41="","",IF(I41="","",IF(C41&gt;3,H37,IF(I41&gt;3,C37,""))))</f>
        <v>FANCINELLI Sébastien</v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>BAUDRIN Jean</v>
      </c>
      <c r="N53" s="314"/>
      <c r="O53" s="315"/>
      <c r="P53" s="301"/>
      <c r="Q53" s="291"/>
    </row>
    <row r="54" spans="2:22" s="31" customFormat="1" ht="22" customHeight="1" outlineLevel="1">
      <c r="F54" s="309"/>
      <c r="G54" s="320"/>
      <c r="H54" s="313" t="str">
        <f>IF(C41="","",IF(I41="","",IF(C41&gt;3,H38,IF(I41&gt;3,C38,""))))</f>
        <v>CROZE Jean-Philippe</v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>YARD Jean</v>
      </c>
      <c r="N54" s="314"/>
      <c r="O54" s="315"/>
      <c r="P54" s="301"/>
      <c r="Q54" s="291"/>
    </row>
    <row r="55" spans="2:22" s="31" customFormat="1" ht="22" customHeight="1" outlineLevel="1">
      <c r="F55" s="309"/>
      <c r="G55" s="320"/>
      <c r="H55" s="313" t="str">
        <f>IF(C41="","",IF(I41="","",IF(C41&gt;3,H39,IF(I41&gt;3,C39,""))))</f>
        <v>BERNARD Louis</v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>MARMORAT Catherine</v>
      </c>
      <c r="N55" s="314"/>
      <c r="O55" s="315"/>
      <c r="P55" s="301"/>
      <c r="Q55" s="291"/>
    </row>
    <row r="56" spans="2:22" s="31" customFormat="1" ht="22" customHeight="1" outlineLevel="1" thickBot="1">
      <c r="F56" s="309"/>
      <c r="G56" s="320"/>
      <c r="H56" s="313" t="str">
        <f>IF(C41="","",IF(I41="","",IF(C41&gt;3,H40,IF(I41&gt;3,C40,""))))</f>
        <v>GARDARIN Frédérique</v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>RIONDET lionel</v>
      </c>
      <c r="N56" s="314"/>
      <c r="O56" s="315"/>
      <c r="P56" s="301"/>
      <c r="Q56" s="291"/>
    </row>
    <row r="57" spans="2:22" ht="22" customHeight="1">
      <c r="G57" s="34">
        <f>IF(J57="","",IF(J57&gt;2,1,0))</f>
        <v>1</v>
      </c>
      <c r="H57" s="297">
        <f>IF(J57="","",SUM(G57:G63))</f>
        <v>2</v>
      </c>
      <c r="I57" s="298"/>
      <c r="J57" s="74">
        <v>4</v>
      </c>
      <c r="K57" s="302"/>
      <c r="L57" s="303"/>
      <c r="M57" s="74">
        <v>1</v>
      </c>
      <c r="N57" s="327">
        <f>IF(H35="",IF(M51="","",4),IF(M57="","",SUM(P57:P63)))</f>
        <v>4</v>
      </c>
      <c r="O57" s="297"/>
      <c r="P57" s="59">
        <f>IF(M57="","",IF(M57&gt;2,1,0))</f>
        <v>0</v>
      </c>
    </row>
    <row r="58" spans="2:22" ht="22" customHeight="1">
      <c r="G58" s="34">
        <f t="shared" ref="G58:G63" si="12">IF(J58="","",IF(J58&gt;2,1,0))</f>
        <v>0</v>
      </c>
      <c r="H58" s="299"/>
      <c r="I58" s="300"/>
      <c r="J58" s="75">
        <v>1</v>
      </c>
      <c r="K58" s="293"/>
      <c r="L58" s="294"/>
      <c r="M58" s="75">
        <v>4</v>
      </c>
      <c r="N58" s="328"/>
      <c r="O58" s="299"/>
      <c r="P58" s="59">
        <f t="shared" ref="P58:P63" si="13">IF(M58="","",IF(M58&gt;2,1,0))</f>
        <v>1</v>
      </c>
    </row>
    <row r="59" spans="2:22" ht="22" customHeight="1">
      <c r="G59" s="34">
        <f t="shared" si="12"/>
        <v>1</v>
      </c>
      <c r="H59" s="299"/>
      <c r="I59" s="300"/>
      <c r="J59" s="75">
        <v>4</v>
      </c>
      <c r="K59" s="293"/>
      <c r="L59" s="294"/>
      <c r="M59" s="75">
        <v>1</v>
      </c>
      <c r="N59" s="328"/>
      <c r="O59" s="299"/>
      <c r="P59" s="59">
        <f t="shared" si="13"/>
        <v>0</v>
      </c>
    </row>
    <row r="60" spans="2:22" ht="22" customHeight="1">
      <c r="G60" s="34">
        <f t="shared" si="12"/>
        <v>0</v>
      </c>
      <c r="H60" s="299"/>
      <c r="I60" s="300"/>
      <c r="J60" s="75">
        <v>1</v>
      </c>
      <c r="K60" s="293"/>
      <c r="L60" s="294"/>
      <c r="M60" s="75">
        <v>4</v>
      </c>
      <c r="N60" s="328"/>
      <c r="O60" s="299"/>
      <c r="P60" s="59">
        <f t="shared" si="13"/>
        <v>1</v>
      </c>
    </row>
    <row r="61" spans="2:22" ht="22" customHeight="1">
      <c r="G61" s="34">
        <f t="shared" si="12"/>
        <v>0</v>
      </c>
      <c r="H61" s="299"/>
      <c r="I61" s="300"/>
      <c r="J61" s="75">
        <v>1</v>
      </c>
      <c r="K61" s="293"/>
      <c r="L61" s="294"/>
      <c r="M61" s="75">
        <v>4</v>
      </c>
      <c r="N61" s="328"/>
      <c r="O61" s="299"/>
      <c r="P61" s="59">
        <f t="shared" si="13"/>
        <v>1</v>
      </c>
    </row>
    <row r="62" spans="2:22" ht="22" customHeight="1">
      <c r="G62" s="34">
        <f t="shared" si="12"/>
        <v>0</v>
      </c>
      <c r="H62" s="299"/>
      <c r="I62" s="300"/>
      <c r="J62" s="75">
        <v>2</v>
      </c>
      <c r="K62" s="293"/>
      <c r="L62" s="294"/>
      <c r="M62" s="75">
        <v>3</v>
      </c>
      <c r="N62" s="328"/>
      <c r="O62" s="299"/>
      <c r="P62" s="59">
        <f t="shared" si="13"/>
        <v>1</v>
      </c>
    </row>
    <row r="63" spans="2:22" ht="22" customHeight="1" thickBot="1">
      <c r="G63" s="34" t="str">
        <f t="shared" si="12"/>
        <v/>
      </c>
      <c r="H63" s="299"/>
      <c r="I63" s="300"/>
      <c r="J63" s="76"/>
      <c r="K63" s="293"/>
      <c r="L63" s="294"/>
      <c r="M63" s="76"/>
      <c r="N63" s="328"/>
      <c r="O63" s="299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8" customHeight="1" thickBot="1">
      <c r="A65" s="35"/>
      <c r="F65" s="291"/>
      <c r="G65" s="292"/>
      <c r="H65" s="310" t="str">
        <f>IF(H35="",C35,IF(C41="","",IF(I41="","",IF(C41&gt;3,C35,IF(I41&gt;3,H35,"")))))</f>
        <v>CT CHAMBERY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TOS</v>
      </c>
      <c r="N65" s="311"/>
      <c r="O65" s="312"/>
      <c r="P65" s="308"/>
      <c r="Q65" s="309"/>
    </row>
    <row r="66" spans="1:17" ht="22" customHeight="1" outlineLevel="1">
      <c r="A66" s="35"/>
      <c r="F66" s="291"/>
      <c r="G66" s="292"/>
      <c r="H66" s="316" t="str">
        <f>IF(H36="",C36,IF(C41="","",IF(I41="","",IF(C41&gt;3,C36,IF(I41&gt;3,H36,"")))))</f>
        <v>PETINGA Priscilla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HISLER Julien</v>
      </c>
      <c r="N66" s="317"/>
      <c r="O66" s="318"/>
      <c r="P66" s="308"/>
      <c r="Q66" s="309"/>
    </row>
    <row r="67" spans="1:17" ht="22" customHeight="1" outlineLevel="1">
      <c r="A67" s="35"/>
      <c r="F67" s="291"/>
      <c r="G67" s="292"/>
      <c r="H67" s="316" t="str">
        <f>IF(H37="",C37,IF(C41="","",IF(I41="","",IF(C41&gt;3,C37,IF(I41&gt;3,H37,"")))))</f>
        <v>PERRET Jean-François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DERESSE Françoise</v>
      </c>
      <c r="N67" s="317"/>
      <c r="O67" s="318"/>
      <c r="P67" s="308"/>
      <c r="Q67" s="309"/>
    </row>
    <row r="68" spans="1:17" ht="22" customHeight="1" outlineLevel="1">
      <c r="A68" s="35"/>
      <c r="F68" s="291"/>
      <c r="G68" s="292"/>
      <c r="H68" s="316" t="str">
        <f>IF(H38="",C38,IF(C41="","",IF(I41="","",IF(C41&gt;3,C38,IF(I41&gt;3,H38,"")))))</f>
        <v>GUPUIT Anne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SOUFI Fayçal</v>
      </c>
      <c r="N68" s="317"/>
      <c r="O68" s="318"/>
      <c r="P68" s="308"/>
      <c r="Q68" s="309"/>
    </row>
    <row r="69" spans="1:17" ht="22" customHeight="1" outlineLevel="1">
      <c r="A69" s="35"/>
      <c r="F69" s="291"/>
      <c r="G69" s="292"/>
      <c r="H69" s="316" t="str">
        <f>IF(H39="",C39,IF(C41="","",IF(I41="","",IF(C41&gt;3,C39,IF(I41&gt;3,H39,"")))))</f>
        <v>GIANSILY Philippe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CHANEL Angélique</v>
      </c>
      <c r="N69" s="317"/>
      <c r="O69" s="318"/>
      <c r="P69" s="308"/>
      <c r="Q69" s="309"/>
    </row>
    <row r="70" spans="1:17" ht="22" customHeight="1" outlineLevel="1" thickBot="1">
      <c r="A70" s="35"/>
      <c r="F70" s="291"/>
      <c r="G70" s="292"/>
      <c r="H70" s="316" t="str">
        <f>IF(H40="",C40,IF(C41="","",IF(I41="","",IF(C41&gt;3,C40,IF(I41&gt;3,H40,"")))))</f>
        <v>BOUFFARD Jacqueline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GAMBIER Clément</v>
      </c>
      <c r="N70" s="317"/>
      <c r="O70" s="318"/>
      <c r="P70" s="308"/>
      <c r="Q70" s="309"/>
    </row>
    <row r="71" spans="1:17" ht="22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4">
        <v>3</v>
      </c>
      <c r="K71" s="302"/>
      <c r="L71" s="303"/>
      <c r="M71" s="74">
        <v>2</v>
      </c>
      <c r="N71" s="327">
        <f>IF(M71="","",SUM(P71:P77))</f>
        <v>1</v>
      </c>
      <c r="O71" s="297"/>
      <c r="P71" s="59">
        <f>IF(M71="","",IF(M71&gt;2,1,0))</f>
        <v>0</v>
      </c>
    </row>
    <row r="72" spans="1:17" ht="22" customHeight="1">
      <c r="A72" s="35"/>
      <c r="G72" s="39">
        <f t="shared" ref="G72:G77" si="14">IF(J72="","",IF(J72&gt;2,1,0))</f>
        <v>1</v>
      </c>
      <c r="H72" s="299"/>
      <c r="I72" s="300"/>
      <c r="J72" s="75">
        <v>3</v>
      </c>
      <c r="K72" s="293"/>
      <c r="L72" s="294"/>
      <c r="M72" s="75">
        <v>2</v>
      </c>
      <c r="N72" s="328"/>
      <c r="O72" s="299"/>
      <c r="P72" s="59">
        <f t="shared" ref="P72:P77" si="15">IF(M72="","",IF(M72&gt;2,1,0))</f>
        <v>0</v>
      </c>
    </row>
    <row r="73" spans="1:17" ht="22" customHeight="1">
      <c r="A73" s="35"/>
      <c r="G73" s="39">
        <f t="shared" si="14"/>
        <v>0</v>
      </c>
      <c r="H73" s="299"/>
      <c r="I73" s="300"/>
      <c r="J73" s="75">
        <v>2</v>
      </c>
      <c r="K73" s="293"/>
      <c r="L73" s="294"/>
      <c r="M73" s="75">
        <v>3</v>
      </c>
      <c r="N73" s="328"/>
      <c r="O73" s="299"/>
      <c r="P73" s="59">
        <f t="shared" si="15"/>
        <v>1</v>
      </c>
    </row>
    <row r="74" spans="1:17" ht="22" customHeight="1">
      <c r="A74" s="35"/>
      <c r="G74" s="39">
        <f t="shared" si="14"/>
        <v>1</v>
      </c>
      <c r="H74" s="299"/>
      <c r="I74" s="300"/>
      <c r="J74" s="75">
        <v>4</v>
      </c>
      <c r="K74" s="293"/>
      <c r="L74" s="294"/>
      <c r="M74" s="75">
        <v>1</v>
      </c>
      <c r="N74" s="328"/>
      <c r="O74" s="299"/>
      <c r="P74" s="59">
        <f t="shared" si="15"/>
        <v>0</v>
      </c>
    </row>
    <row r="75" spans="1:17" ht="22" customHeight="1">
      <c r="A75" s="35"/>
      <c r="G75" s="39">
        <f t="shared" si="14"/>
        <v>1</v>
      </c>
      <c r="H75" s="299"/>
      <c r="I75" s="300"/>
      <c r="J75" s="75">
        <v>4</v>
      </c>
      <c r="K75" s="293"/>
      <c r="L75" s="294"/>
      <c r="M75" s="75">
        <v>1</v>
      </c>
      <c r="N75" s="328"/>
      <c r="O75" s="299"/>
      <c r="P75" s="59">
        <f t="shared" si="15"/>
        <v>0</v>
      </c>
    </row>
    <row r="76" spans="1:17" ht="22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2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/>
  <dimension ref="A1:Q118"/>
  <sheetViews>
    <sheetView showGridLines="0" tabSelected="1" zoomScale="75" zoomScaleNormal="75" zoomScaleSheetLayoutView="80" zoomScalePageLayoutView="75" workbookViewId="0">
      <selection activeCell="B8" sqref="B8"/>
    </sheetView>
  </sheetViews>
  <sheetFormatPr baseColWidth="10" defaultColWidth="10.7109375" defaultRowHeight="15" outlineLevelCol="1" x14ac:dyDescent="0"/>
  <cols>
    <col min="1" max="1" width="10.7109375" style="2"/>
    <col min="2" max="2" width="62.42578125" style="2" customWidth="1"/>
    <col min="3" max="3" width="38.85546875" style="2" hidden="1" customWidth="1" outlineLevel="1"/>
    <col min="4" max="4" width="20.7109375" style="2" customWidth="1" collapsed="1"/>
    <col min="5" max="5" width="17.7109375" style="2" customWidth="1"/>
    <col min="6" max="6" width="6.140625" style="2" hidden="1" customWidth="1"/>
    <col min="7" max="7" width="5.7109375" style="2" customWidth="1"/>
    <col min="8" max="8" width="8.7109375" style="2" customWidth="1"/>
    <col min="9" max="9" width="10.7109375" style="2"/>
    <col min="10" max="10" width="47" style="2" hidden="1" customWidth="1" outlineLevel="1"/>
    <col min="11" max="11" width="3.28515625" style="2" hidden="1" customWidth="1" outlineLevel="1"/>
    <col min="12" max="12" width="29.5703125" style="2" hidden="1" customWidth="1" outlineLevel="1"/>
    <col min="13" max="13" width="16.140625" style="2" hidden="1" customWidth="1" outlineLevel="1"/>
    <col min="14" max="14" width="10.7109375" style="2" collapsed="1"/>
    <col min="15" max="15" width="2.5703125" style="2" customWidth="1"/>
    <col min="16" max="16384" width="10.7109375" style="2"/>
  </cols>
  <sheetData>
    <row r="1" spans="1:17" ht="30" customHeight="1">
      <c r="A1" s="337" t="str">
        <f>CONCATENATE("PALMARES","  ",INFO!B6,"
","CHAMPIONNAT DE FRANCE DES CLUBS","
","10 METRES")</f>
        <v>PALMARES  14-15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40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40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 SAVOIE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" customHeight="1">
      <c r="A8" s="52">
        <v>1</v>
      </c>
      <c r="B8" s="53" t="str">
        <f>IF(A8="","",IF(P.F.!J71="","",IF(P.F.!H71&gt;3,P.F.!H65,IF(P.F.!N71&gt;3,P.F.!M65,""))))</f>
        <v>CT CHAMBERY</v>
      </c>
      <c r="C8" s="53"/>
      <c r="D8" s="55">
        <f>IF(A8="","",IF(B8="","",VLOOKUP(B8,'M Q'!B$7:AI$14,2,0)))</f>
        <v>2073010</v>
      </c>
      <c r="E8" s="223">
        <f>IF(A8="","",IF(B8="","",VLOOKUP(B8,'M Q'!B$7:AI$14,33,0)))</f>
        <v>1380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" customHeight="1">
      <c r="A9" s="52">
        <f>IF(INFO!B8&gt;1,2,"")</f>
        <v>2</v>
      </c>
      <c r="B9" s="53" t="str">
        <f>IF(A9="","",IF(P.F.!M71="","",IF(P.F.!H71&gt;3,P.F.!M65,IF(P.F.!N71&gt;3,P.F.!H65,""))))</f>
        <v>TOS</v>
      </c>
      <c r="C9" s="53"/>
      <c r="D9" s="55">
        <f>IF(A9="","",IF(B9="","",VLOOKUP(B9,'M Q'!B$7:AI$14,2,0)))</f>
        <v>2073190</v>
      </c>
      <c r="E9" s="223">
        <f>IF(A9="","",IF(B9="","",VLOOKUP(B9,'M Q'!B$7:AI$14,33,0)))</f>
        <v>1271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CT MODANE</v>
      </c>
      <c r="C10" s="54"/>
      <c r="D10" s="55">
        <f>IF(A10="","",IF(B10="","",VLOOKUP(B10,'M Q'!B$7:AI$14,2,0)))</f>
        <v>2073186</v>
      </c>
      <c r="E10" s="223">
        <f>IF(A10="","",IF(B10="","",VLOOKUP(B10,'M Q'!B$7:AI$14,33,0)))</f>
        <v>1277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" customHeight="1">
      <c r="A11" s="41">
        <f>IF(INFO!B8&gt;3,4,"")</f>
        <v>4</v>
      </c>
      <c r="B11" s="40" t="str">
        <f>IF(A11="","",IF(P.F.!M57="","",IF(P.F.!H57&gt;3,P.F.!M51,IF(P.F.!N57&gt;3,P.F.!H51,""))))</f>
        <v>FRATERNELLE AIX</v>
      </c>
      <c r="C11" s="40"/>
      <c r="D11" s="55">
        <f>IF(A11="","",IF(B11="","",VLOOKUP(B11,'M Q'!B$7:AI$14,2,0)))</f>
        <v>2073128</v>
      </c>
      <c r="E11" s="223">
        <f>IF(A11="","",IF(B11="","",VLOOKUP(B11,'M Q'!B$7:AI$14,33,0)))</f>
        <v>1263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2"/>
    <row r="91" s="14" customFormat="1" ht="22"/>
    <row r="92" s="14" customFormat="1" ht="22"/>
    <row r="93" s="14" customFormat="1" ht="22"/>
    <row r="94" s="14" customFormat="1" ht="22"/>
    <row r="95" s="14" customFormat="1" ht="22"/>
    <row r="96" s="14" customFormat="1" ht="22"/>
    <row r="97" s="14" customFormat="1" ht="22"/>
    <row r="98" s="14" customFormat="1" ht="22"/>
    <row r="99" s="14" customFormat="1" ht="22"/>
    <row r="100" s="14" customFormat="1" ht="22"/>
    <row r="101" s="14" customFormat="1" ht="22"/>
    <row r="102" s="14" customFormat="1" ht="22"/>
    <row r="103" s="14" customFormat="1" ht="22"/>
    <row r="104" s="14" customFormat="1" ht="22"/>
    <row r="105" s="14" customFormat="1" ht="22"/>
    <row r="106" s="14" customFormat="1" ht="22"/>
    <row r="107" s="14" customFormat="1" ht="22"/>
    <row r="108" s="14" customFormat="1" ht="22"/>
    <row r="109" s="14" customFormat="1" ht="22"/>
    <row r="110" s="14" customFormat="1" ht="22"/>
    <row r="111" s="14" customFormat="1" ht="22"/>
    <row r="112" s="14" customFormat="1" ht="22"/>
    <row r="113" s="14" customFormat="1" ht="22"/>
    <row r="114" s="14" customFormat="1" ht="22"/>
    <row r="115" s="14" customFormat="1" ht="22"/>
    <row r="116" s="14" customFormat="1" ht="22"/>
    <row r="117" s="14" customFormat="1" ht="22"/>
    <row r="118" s="14" customFormat="1" ht="22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INFO</vt:lpstr>
      <vt:lpstr>saisie</vt:lpstr>
      <vt:lpstr>M Q</vt:lpstr>
      <vt:lpstr>Clb Q (2)</vt:lpstr>
      <vt:lpstr>Clb Q</vt:lpstr>
      <vt:lpstr>P.F.</vt:lpstr>
      <vt:lpstr>PALMARES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Comité de tir de la Savoie</cp:lastModifiedBy>
  <cp:lastPrinted>2014-10-14T08:20:17Z</cp:lastPrinted>
  <dcterms:created xsi:type="dcterms:W3CDTF">2004-11-19T11:01:00Z</dcterms:created>
  <dcterms:modified xsi:type="dcterms:W3CDTF">2015-01-11T17:20:52Z</dcterms:modified>
</cp:coreProperties>
</file>